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omments2.xml" ContentType="application/vnd.openxmlformats-officedocument.spreadsheetml.comment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uio-my.sharepoint.com/personal/trulsn_uio_no/Documents/Artikler/A-A-NorbyT-Nye/Sun BGLC positrodes/Sun etal WINNER shared/"/>
    </mc:Choice>
  </mc:AlternateContent>
  <xr:revisionPtr revIDLastSave="93" documentId="8_{3C4E02A6-30BB-42DA-A345-983CB2F234ED}" xr6:coauthVersionLast="47" xr6:coauthVersionMax="47" xr10:uidLastSave="{F9D064B2-7D93-49BD-A77C-263EA3B59DDB}"/>
  <bookViews>
    <workbookView xWindow="0" yWindow="135" windowWidth="28800" windowHeight="15345" activeTab="1" xr2:uid="{00000000-000D-0000-FFFF-FFFF00000000}"/>
  </bookViews>
  <sheets>
    <sheet name="Introductions" sheetId="7" r:id="rId1"/>
    <sheet name="Transport numbers" sheetId="1" r:id="rId2"/>
    <sheet name="Transport numbers Backup" sheetId="8" r:id="rId3"/>
    <sheet name="Workspace" sheetId="6"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7" i="8" l="1"/>
  <c r="K47" i="8"/>
  <c r="L46" i="8"/>
  <c r="K46" i="8"/>
  <c r="L45" i="8"/>
  <c r="K45" i="8"/>
  <c r="L44" i="8"/>
  <c r="K44" i="8"/>
  <c r="J43" i="8"/>
  <c r="L43" i="8" s="1"/>
  <c r="K42" i="8"/>
  <c r="J42" i="8"/>
  <c r="L42" i="8" s="1"/>
  <c r="J41" i="8"/>
  <c r="J40" i="8"/>
  <c r="L40" i="8" s="1"/>
  <c r="K39" i="8"/>
  <c r="J39" i="8"/>
  <c r="L39" i="8" s="1"/>
  <c r="J38" i="8"/>
  <c r="L38" i="8" s="1"/>
  <c r="J37" i="8"/>
  <c r="L36" i="8"/>
  <c r="K36" i="8"/>
  <c r="L35" i="8"/>
  <c r="K35" i="8"/>
  <c r="L34" i="8"/>
  <c r="K34" i="8"/>
  <c r="L33" i="8"/>
  <c r="K33" i="8"/>
  <c r="L32" i="8"/>
  <c r="K32" i="8"/>
  <c r="L31" i="8"/>
  <c r="K31" i="8"/>
  <c r="B31" i="8"/>
  <c r="B32" i="8" s="1"/>
  <c r="C32" i="8" s="1"/>
  <c r="D32" i="8" s="1"/>
  <c r="E32" i="8" s="1"/>
  <c r="C26" i="8"/>
  <c r="C26" i="1"/>
  <c r="L47" i="1"/>
  <c r="L46" i="1"/>
  <c r="L45" i="1"/>
  <c r="L44" i="1"/>
  <c r="L36" i="1"/>
  <c r="L35" i="1"/>
  <c r="L34" i="1"/>
  <c r="L33" i="1"/>
  <c r="L32" i="1"/>
  <c r="L31" i="1"/>
  <c r="J43" i="1"/>
  <c r="L43" i="1" s="1"/>
  <c r="J42" i="1"/>
  <c r="L42" i="1" s="1"/>
  <c r="J41" i="1"/>
  <c r="L41" i="1" s="1"/>
  <c r="J40" i="1"/>
  <c r="L40" i="1" s="1"/>
  <c r="J39" i="1"/>
  <c r="L39" i="1" s="1"/>
  <c r="J38" i="1"/>
  <c r="L38" i="1" s="1"/>
  <c r="J37" i="1"/>
  <c r="L37" i="1" s="1"/>
  <c r="K47" i="1"/>
  <c r="K45" i="1"/>
  <c r="K35" i="1"/>
  <c r="K34" i="1"/>
  <c r="B31" i="1"/>
  <c r="C31" i="1" s="1"/>
  <c r="D31" i="1" s="1"/>
  <c r="K38" i="8" l="1"/>
  <c r="M38" i="8" s="1"/>
  <c r="K40" i="8"/>
  <c r="M42" i="8"/>
  <c r="L41" i="8"/>
  <c r="K41" i="8"/>
  <c r="M41" i="8" s="1"/>
  <c r="K43" i="8"/>
  <c r="M43" i="8" s="1"/>
  <c r="N32" i="8"/>
  <c r="S32" i="8" s="1"/>
  <c r="R32" i="8"/>
  <c r="Q32" i="8"/>
  <c r="P32" i="8"/>
  <c r="B33" i="8"/>
  <c r="M39" i="8"/>
  <c r="C31" i="8"/>
  <c r="D31" i="8" s="1"/>
  <c r="O32" i="8"/>
  <c r="L37" i="8"/>
  <c r="K37" i="8"/>
  <c r="M37" i="8" s="1"/>
  <c r="M40" i="8"/>
  <c r="R31" i="1"/>
  <c r="K39" i="1"/>
  <c r="M39" i="1" s="1"/>
  <c r="P31" i="1"/>
  <c r="Q31" i="1"/>
  <c r="O31" i="1"/>
  <c r="K37" i="1"/>
  <c r="M37" i="1" s="1"/>
  <c r="K44" i="1"/>
  <c r="E31" i="1"/>
  <c r="N31" i="1"/>
  <c r="S31" i="1" s="1"/>
  <c r="Y31" i="1" s="1"/>
  <c r="K40" i="1"/>
  <c r="M40" i="1" s="1"/>
  <c r="K32" i="1"/>
  <c r="B32" i="1"/>
  <c r="C32" i="1" s="1"/>
  <c r="D32" i="1" s="1"/>
  <c r="K33" i="1"/>
  <c r="K36" i="1"/>
  <c r="K43" i="1"/>
  <c r="M43" i="1" s="1"/>
  <c r="K42" i="1"/>
  <c r="M42" i="1" s="1"/>
  <c r="K41" i="1"/>
  <c r="M41" i="1" s="1"/>
  <c r="K38" i="1"/>
  <c r="M38" i="1" s="1"/>
  <c r="K46" i="1"/>
  <c r="K31" i="1"/>
  <c r="B34" i="8" l="1"/>
  <c r="C33" i="8"/>
  <c r="D33" i="8" s="1"/>
  <c r="Y32" i="8"/>
  <c r="T32" i="8"/>
  <c r="N31" i="8"/>
  <c r="S31" i="8" s="1"/>
  <c r="P31" i="8"/>
  <c r="O31" i="8"/>
  <c r="Q31" i="8"/>
  <c r="R31" i="8"/>
  <c r="E31" i="8"/>
  <c r="T31" i="1"/>
  <c r="U31" i="1" s="1"/>
  <c r="V31" i="1" s="1"/>
  <c r="W31" i="1" s="1"/>
  <c r="B33" i="1"/>
  <c r="C33" i="1" s="1"/>
  <c r="D33" i="1" s="1"/>
  <c r="U32" i="8" l="1"/>
  <c r="V32" i="8" s="1"/>
  <c r="W32" i="8" s="1"/>
  <c r="Y31" i="8"/>
  <c r="N33" i="8"/>
  <c r="S33" i="8" s="1"/>
  <c r="E33" i="8"/>
  <c r="Q33" i="8"/>
  <c r="P33" i="8"/>
  <c r="O33" i="8"/>
  <c r="R33" i="8"/>
  <c r="T31" i="8"/>
  <c r="X32" i="8"/>
  <c r="X31" i="8"/>
  <c r="B35" i="8"/>
  <c r="C34" i="8"/>
  <c r="D34" i="8" s="1"/>
  <c r="X31" i="1"/>
  <c r="Z31" i="1" s="1"/>
  <c r="O32" i="1"/>
  <c r="Q32" i="1"/>
  <c r="P32" i="1"/>
  <c r="R32" i="1"/>
  <c r="N32" i="1"/>
  <c r="S32" i="1" s="1"/>
  <c r="T32" i="1" s="1"/>
  <c r="E32" i="1"/>
  <c r="B34" i="1"/>
  <c r="C34" i="1" s="1"/>
  <c r="D34" i="1" s="1"/>
  <c r="AA32" i="8" l="1"/>
  <c r="AD32" i="8" s="1"/>
  <c r="T33" i="8"/>
  <c r="U31" i="8"/>
  <c r="V31" i="8" s="1"/>
  <c r="W31" i="8" s="1"/>
  <c r="C35" i="8"/>
  <c r="D35" i="8" s="1"/>
  <c r="B36" i="8"/>
  <c r="Z31" i="8"/>
  <c r="X33" i="8"/>
  <c r="Z32" i="8"/>
  <c r="AC32" i="8"/>
  <c r="AE32" i="8" s="1"/>
  <c r="N34" i="8"/>
  <c r="S34" i="8" s="1"/>
  <c r="Q34" i="8"/>
  <c r="P34" i="8"/>
  <c r="O34" i="8"/>
  <c r="R34" i="8"/>
  <c r="E34" i="8"/>
  <c r="Y33" i="8"/>
  <c r="AA31" i="1"/>
  <c r="AC31" i="1" s="1"/>
  <c r="R33" i="1"/>
  <c r="Q33" i="1"/>
  <c r="P33" i="1"/>
  <c r="X32" i="1"/>
  <c r="E33" i="1"/>
  <c r="O33" i="1"/>
  <c r="N33" i="1"/>
  <c r="S33" i="1" s="1"/>
  <c r="B35" i="1"/>
  <c r="C35" i="1" s="1"/>
  <c r="D35" i="1" s="1"/>
  <c r="Y32" i="1"/>
  <c r="AD31" i="1" l="1"/>
  <c r="AE31" i="1" s="1"/>
  <c r="AA31" i="8"/>
  <c r="T34" i="8"/>
  <c r="X34" i="8" s="1"/>
  <c r="U34" i="8"/>
  <c r="N35" i="8"/>
  <c r="S35" i="8" s="1"/>
  <c r="E35" i="8"/>
  <c r="R35" i="8"/>
  <c r="Q35" i="8"/>
  <c r="P35" i="8"/>
  <c r="O35" i="8"/>
  <c r="Z33" i="8"/>
  <c r="Y34" i="8"/>
  <c r="U33" i="8"/>
  <c r="V33" i="8" s="1"/>
  <c r="W33" i="8" s="1"/>
  <c r="B37" i="8"/>
  <c r="C36" i="8"/>
  <c r="D36" i="8" s="1"/>
  <c r="AB32" i="8"/>
  <c r="AB31" i="1"/>
  <c r="P34" i="1"/>
  <c r="Q34" i="1"/>
  <c r="R34" i="1"/>
  <c r="T33" i="1"/>
  <c r="U33" i="1" s="1"/>
  <c r="Y33" i="1"/>
  <c r="Z32" i="1"/>
  <c r="O34" i="1"/>
  <c r="N34" i="1"/>
  <c r="S34" i="1" s="1"/>
  <c r="T34" i="1" s="1"/>
  <c r="E34" i="1"/>
  <c r="U32" i="1"/>
  <c r="V32" i="1" s="1"/>
  <c r="W32" i="1" s="1"/>
  <c r="B36" i="1"/>
  <c r="C36" i="1" s="1"/>
  <c r="D36" i="1" s="1"/>
  <c r="AA33" i="8" l="1"/>
  <c r="AB33" i="8" s="1"/>
  <c r="Z34" i="8"/>
  <c r="C37" i="8"/>
  <c r="D37" i="8" s="1"/>
  <c r="B38" i="8"/>
  <c r="T35" i="8"/>
  <c r="U35" i="8"/>
  <c r="AC31" i="8"/>
  <c r="AD31" i="8"/>
  <c r="Y35" i="8"/>
  <c r="N36" i="8"/>
  <c r="S36" i="8" s="1"/>
  <c r="O36" i="8"/>
  <c r="E36" i="8"/>
  <c r="R36" i="8"/>
  <c r="Y36" i="8" s="1"/>
  <c r="Q36" i="8"/>
  <c r="P36" i="8"/>
  <c r="V34" i="8"/>
  <c r="W34" i="8" s="1"/>
  <c r="AB31" i="8"/>
  <c r="X33" i="1"/>
  <c r="Z33" i="1" s="1"/>
  <c r="V33" i="1"/>
  <c r="W33" i="1" s="1"/>
  <c r="P35" i="1"/>
  <c r="R35" i="1"/>
  <c r="Q35" i="1"/>
  <c r="X34" i="1"/>
  <c r="U34" i="1"/>
  <c r="Y34" i="1"/>
  <c r="N35" i="1"/>
  <c r="S35" i="1" s="1"/>
  <c r="O35" i="1"/>
  <c r="E35" i="1"/>
  <c r="B37" i="1"/>
  <c r="C37" i="1" s="1"/>
  <c r="D37" i="1" s="1"/>
  <c r="AA32" i="1"/>
  <c r="AB32" i="1" s="1"/>
  <c r="V35" i="8" l="1"/>
  <c r="W35" i="8" s="1"/>
  <c r="Q37" i="8"/>
  <c r="P37" i="8"/>
  <c r="O37" i="8"/>
  <c r="N37" i="8"/>
  <c r="S37" i="8" s="1"/>
  <c r="E37" i="8"/>
  <c r="R37" i="8"/>
  <c r="Y37" i="8" s="1"/>
  <c r="X35" i="8"/>
  <c r="B39" i="8"/>
  <c r="C38" i="8"/>
  <c r="D38" i="8" s="1"/>
  <c r="T36" i="8"/>
  <c r="AA34" i="8"/>
  <c r="AE31" i="8"/>
  <c r="AC33" i="8"/>
  <c r="AD33" i="8"/>
  <c r="R36" i="1"/>
  <c r="Q36" i="1"/>
  <c r="P36" i="1"/>
  <c r="V34" i="1"/>
  <c r="W34" i="1" s="1"/>
  <c r="AA34" i="1" s="1"/>
  <c r="AB34" i="1" s="1"/>
  <c r="Z34" i="1"/>
  <c r="AA33" i="1"/>
  <c r="AB33" i="1" s="1"/>
  <c r="AD32" i="1"/>
  <c r="AC32" i="1"/>
  <c r="Y35" i="1"/>
  <c r="B38" i="1"/>
  <c r="C38" i="1" s="1"/>
  <c r="D38" i="1" s="1"/>
  <c r="T35" i="1"/>
  <c r="E36" i="1"/>
  <c r="O36" i="1"/>
  <c r="N36" i="1"/>
  <c r="S36" i="1" s="1"/>
  <c r="T36" i="1" s="1"/>
  <c r="AC34" i="8" l="1"/>
  <c r="AD34" i="8"/>
  <c r="T37" i="8"/>
  <c r="U37" i="8" s="1"/>
  <c r="AE33" i="8"/>
  <c r="X37" i="8"/>
  <c r="U36" i="8"/>
  <c r="V36" i="8" s="1"/>
  <c r="W36" i="8" s="1"/>
  <c r="R38" i="8"/>
  <c r="Q38" i="8"/>
  <c r="E38" i="8"/>
  <c r="P38" i="8"/>
  <c r="O38" i="8"/>
  <c r="N38" i="8"/>
  <c r="S38" i="8" s="1"/>
  <c r="B40" i="8"/>
  <c r="C39" i="8"/>
  <c r="D39" i="8" s="1"/>
  <c r="AA35" i="8"/>
  <c r="AD35" i="8" s="1"/>
  <c r="AB34" i="8"/>
  <c r="Z35" i="8"/>
  <c r="X36" i="8"/>
  <c r="R37" i="1"/>
  <c r="Q37" i="1"/>
  <c r="P37" i="1"/>
  <c r="U36" i="1"/>
  <c r="V36" i="1" s="1"/>
  <c r="U35" i="1"/>
  <c r="V35" i="1" s="1"/>
  <c r="AE32" i="1"/>
  <c r="E37" i="1"/>
  <c r="O37" i="1"/>
  <c r="N37" i="1"/>
  <c r="S37" i="1" s="1"/>
  <c r="T37" i="1" s="1"/>
  <c r="B39" i="1"/>
  <c r="C39" i="1" s="1"/>
  <c r="D39" i="1" s="1"/>
  <c r="X36" i="1"/>
  <c r="Y36" i="1"/>
  <c r="X35" i="1"/>
  <c r="AD34" i="1"/>
  <c r="AC34" i="1"/>
  <c r="AD33" i="1"/>
  <c r="AC33" i="1"/>
  <c r="AC35" i="8" l="1"/>
  <c r="AE35" i="8" s="1"/>
  <c r="AA36" i="8"/>
  <c r="AD36" i="8" s="1"/>
  <c r="Z36" i="8"/>
  <c r="V37" i="8"/>
  <c r="W37" i="8" s="1"/>
  <c r="Y38" i="8"/>
  <c r="AE34" i="8"/>
  <c r="T38" i="8"/>
  <c r="Z37" i="8"/>
  <c r="AB35" i="8"/>
  <c r="P39" i="8"/>
  <c r="O39" i="8"/>
  <c r="R39" i="8"/>
  <c r="Q39" i="8"/>
  <c r="N39" i="8"/>
  <c r="S39" i="8" s="1"/>
  <c r="E39" i="8"/>
  <c r="B41" i="8"/>
  <c r="C40" i="8"/>
  <c r="D40" i="8" s="1"/>
  <c r="P38" i="1"/>
  <c r="Q38" i="1"/>
  <c r="R38" i="1"/>
  <c r="U37" i="1"/>
  <c r="V37" i="1" s="1"/>
  <c r="W37" i="1" s="1"/>
  <c r="W35" i="1"/>
  <c r="AA35" i="1" s="1"/>
  <c r="AB35" i="1" s="1"/>
  <c r="W36" i="1"/>
  <c r="AA36" i="1" s="1"/>
  <c r="AB36" i="1" s="1"/>
  <c r="AE34" i="1"/>
  <c r="AE33" i="1"/>
  <c r="Y37" i="1"/>
  <c r="Z35" i="1"/>
  <c r="Z36" i="1"/>
  <c r="X37" i="1"/>
  <c r="O38" i="1"/>
  <c r="N38" i="1"/>
  <c r="S38" i="1" s="1"/>
  <c r="E38" i="1"/>
  <c r="B40" i="1"/>
  <c r="C40" i="1" s="1"/>
  <c r="D40" i="1" s="1"/>
  <c r="Y39" i="8" l="1"/>
  <c r="AA37" i="8"/>
  <c r="AC36" i="8"/>
  <c r="AE36" i="8" s="1"/>
  <c r="N40" i="8"/>
  <c r="S40" i="8" s="1"/>
  <c r="E40" i="8"/>
  <c r="R40" i="8"/>
  <c r="O40" i="8"/>
  <c r="Q40" i="8"/>
  <c r="P40" i="8"/>
  <c r="C41" i="8"/>
  <c r="D41" i="8" s="1"/>
  <c r="B42" i="8"/>
  <c r="X38" i="8"/>
  <c r="T39" i="8"/>
  <c r="X39" i="8" s="1"/>
  <c r="U38" i="8"/>
  <c r="V38" i="8" s="1"/>
  <c r="W38" i="8" s="1"/>
  <c r="AB36" i="8"/>
  <c r="R39" i="1"/>
  <c r="P39" i="1"/>
  <c r="Q39" i="1"/>
  <c r="Z37" i="1"/>
  <c r="Y38" i="1"/>
  <c r="AC36" i="1"/>
  <c r="AD36" i="1"/>
  <c r="AC35" i="1"/>
  <c r="AD35" i="1"/>
  <c r="N39" i="1"/>
  <c r="S39" i="1" s="1"/>
  <c r="E39" i="1"/>
  <c r="O39" i="1"/>
  <c r="AA37" i="1"/>
  <c r="AD37" i="1" s="1"/>
  <c r="B41" i="1"/>
  <c r="C41" i="1" s="1"/>
  <c r="D41" i="1" s="1"/>
  <c r="T38" i="1"/>
  <c r="U40" i="8" l="1"/>
  <c r="T40" i="8"/>
  <c r="B43" i="8"/>
  <c r="C42" i="8"/>
  <c r="D42" i="8" s="1"/>
  <c r="Z38" i="8"/>
  <c r="R41" i="8"/>
  <c r="Y41" i="8" s="1"/>
  <c r="Q41" i="8"/>
  <c r="P41" i="8"/>
  <c r="O41" i="8"/>
  <c r="N41" i="8"/>
  <c r="S41" i="8" s="1"/>
  <c r="E41" i="8"/>
  <c r="AA38" i="8"/>
  <c r="AD38" i="8" s="1"/>
  <c r="X40" i="8"/>
  <c r="Z39" i="8"/>
  <c r="Y40" i="8"/>
  <c r="AD37" i="8"/>
  <c r="AC37" i="8"/>
  <c r="U39" i="8"/>
  <c r="V39" i="8" s="1"/>
  <c r="W39" i="8" s="1"/>
  <c r="AB37" i="8"/>
  <c r="Q40" i="1"/>
  <c r="P40" i="1"/>
  <c r="R40" i="1"/>
  <c r="X38" i="1"/>
  <c r="Z38" i="1" s="1"/>
  <c r="AE35" i="1"/>
  <c r="AE36" i="1"/>
  <c r="U38" i="1"/>
  <c r="V38" i="1" s="1"/>
  <c r="Y39" i="1"/>
  <c r="AC37" i="1"/>
  <c r="AE37" i="1" s="1"/>
  <c r="T39" i="1"/>
  <c r="B42" i="1"/>
  <c r="C42" i="1" s="1"/>
  <c r="D42" i="1" s="1"/>
  <c r="N40" i="1"/>
  <c r="S40" i="1" s="1"/>
  <c r="E40" i="1"/>
  <c r="O40" i="1"/>
  <c r="AB37" i="1"/>
  <c r="AE37" i="8" l="1"/>
  <c r="AA39" i="8"/>
  <c r="Z40" i="8"/>
  <c r="AB38" i="8"/>
  <c r="AC38" i="8"/>
  <c r="AE38" i="8" s="1"/>
  <c r="T41" i="8"/>
  <c r="X41" i="8" s="1"/>
  <c r="U41" i="8"/>
  <c r="R42" i="8"/>
  <c r="Q42" i="8"/>
  <c r="E42" i="8"/>
  <c r="N42" i="8"/>
  <c r="S42" i="8" s="1"/>
  <c r="P42" i="8"/>
  <c r="O42" i="8"/>
  <c r="B44" i="8"/>
  <c r="C43" i="8"/>
  <c r="D43" i="8" s="1"/>
  <c r="V40" i="8"/>
  <c r="W40" i="8" s="1"/>
  <c r="R41" i="1"/>
  <c r="Q41" i="1"/>
  <c r="P41" i="1"/>
  <c r="T40" i="1"/>
  <c r="X40" i="1" s="1"/>
  <c r="X39" i="1"/>
  <c r="Z39" i="1" s="1"/>
  <c r="W38" i="1"/>
  <c r="AA38" i="1" s="1"/>
  <c r="AD38" i="1" s="1"/>
  <c r="U39" i="1"/>
  <c r="V39" i="1" s="1"/>
  <c r="N41" i="1"/>
  <c r="S41" i="1" s="1"/>
  <c r="T41" i="1" s="1"/>
  <c r="O41" i="1"/>
  <c r="E41" i="1"/>
  <c r="B43" i="1"/>
  <c r="C43" i="1" s="1"/>
  <c r="D43" i="1" s="1"/>
  <c r="Y40" i="1"/>
  <c r="T42" i="8" l="1"/>
  <c r="Z41" i="8"/>
  <c r="AA40" i="8"/>
  <c r="AB40" i="8" s="1"/>
  <c r="X42" i="8"/>
  <c r="Y42" i="8"/>
  <c r="P43" i="8"/>
  <c r="O43" i="8"/>
  <c r="E43" i="8"/>
  <c r="R43" i="8"/>
  <c r="Q43" i="8"/>
  <c r="N43" i="8"/>
  <c r="S43" i="8" s="1"/>
  <c r="AD39" i="8"/>
  <c r="AC39" i="8"/>
  <c r="B45" i="8"/>
  <c r="C44" i="8"/>
  <c r="D44" i="8" s="1"/>
  <c r="V41" i="8"/>
  <c r="W41" i="8" s="1"/>
  <c r="AB39" i="8"/>
  <c r="P42" i="1"/>
  <c r="R42" i="1"/>
  <c r="Q42" i="1"/>
  <c r="U41" i="1"/>
  <c r="V41" i="1" s="1"/>
  <c r="W41" i="1" s="1"/>
  <c r="U40" i="1"/>
  <c r="AB38" i="1"/>
  <c r="W39" i="1"/>
  <c r="AA39" i="1" s="1"/>
  <c r="AC38" i="1"/>
  <c r="AE38" i="1" s="1"/>
  <c r="Z40" i="1"/>
  <c r="Y41" i="1"/>
  <c r="B44" i="1"/>
  <c r="C44" i="1" s="1"/>
  <c r="D44" i="1" s="1"/>
  <c r="N42" i="1"/>
  <c r="S42" i="1" s="1"/>
  <c r="E42" i="1"/>
  <c r="O42" i="1"/>
  <c r="X41" i="1"/>
  <c r="T43" i="8" l="1"/>
  <c r="AC40" i="8"/>
  <c r="AD40" i="8"/>
  <c r="AA41" i="8"/>
  <c r="P44" i="8"/>
  <c r="O44" i="8"/>
  <c r="Q44" i="8"/>
  <c r="N44" i="8"/>
  <c r="S44" i="8" s="1"/>
  <c r="E44" i="8"/>
  <c r="R44" i="8"/>
  <c r="Z42" i="8"/>
  <c r="Y43" i="8"/>
  <c r="B46" i="8"/>
  <c r="C45" i="8"/>
  <c r="D45" i="8" s="1"/>
  <c r="AE39" i="8"/>
  <c r="U42" i="8"/>
  <c r="V42" i="8" s="1"/>
  <c r="W42" i="8" s="1"/>
  <c r="P43" i="1"/>
  <c r="R43" i="1"/>
  <c r="Q43" i="1"/>
  <c r="V40" i="1"/>
  <c r="W40" i="1" s="1"/>
  <c r="AA40" i="1" s="1"/>
  <c r="AC40" i="1" s="1"/>
  <c r="AD39" i="1"/>
  <c r="AC39" i="1"/>
  <c r="AB39" i="1"/>
  <c r="Z41" i="1"/>
  <c r="B45" i="1"/>
  <c r="C45" i="1" s="1"/>
  <c r="D45" i="1" s="1"/>
  <c r="O43" i="1"/>
  <c r="N43" i="1"/>
  <c r="S43" i="1" s="1"/>
  <c r="E43" i="1"/>
  <c r="T42" i="1"/>
  <c r="AA41" i="1"/>
  <c r="AC41" i="1" s="1"/>
  <c r="Y42" i="1"/>
  <c r="Y44" i="8" l="1"/>
  <c r="AA42" i="8"/>
  <c r="AD41" i="8"/>
  <c r="AC41" i="8"/>
  <c r="AE41" i="8" s="1"/>
  <c r="AB41" i="8"/>
  <c r="AE40" i="8"/>
  <c r="P45" i="8"/>
  <c r="O45" i="8"/>
  <c r="E45" i="8"/>
  <c r="R45" i="8"/>
  <c r="Q45" i="8"/>
  <c r="N45" i="8"/>
  <c r="S45" i="8" s="1"/>
  <c r="T44" i="8"/>
  <c r="X44" i="8" s="1"/>
  <c r="B47" i="8"/>
  <c r="C47" i="8" s="1"/>
  <c r="D47" i="8" s="1"/>
  <c r="C46" i="8"/>
  <c r="D46" i="8" s="1"/>
  <c r="U43" i="8"/>
  <c r="V43" i="8" s="1"/>
  <c r="W43" i="8" s="1"/>
  <c r="X43" i="8"/>
  <c r="R44" i="1"/>
  <c r="Q44" i="1"/>
  <c r="P44" i="1"/>
  <c r="AD40" i="1"/>
  <c r="AE40" i="1" s="1"/>
  <c r="AB40" i="1"/>
  <c r="X42" i="1"/>
  <c r="Z42" i="1" s="1"/>
  <c r="AE39" i="1"/>
  <c r="Y43" i="1"/>
  <c r="T43" i="1"/>
  <c r="AD41" i="1"/>
  <c r="AE41" i="1" s="1"/>
  <c r="AB41" i="1"/>
  <c r="U42" i="1"/>
  <c r="V42" i="1" s="1"/>
  <c r="E44" i="1"/>
  <c r="N44" i="1"/>
  <c r="O44" i="1"/>
  <c r="B46" i="1"/>
  <c r="C46" i="1" s="1"/>
  <c r="D46" i="1" s="1"/>
  <c r="AA43" i="8" l="1"/>
  <c r="AD43" i="8" s="1"/>
  <c r="Z44" i="8"/>
  <c r="U44" i="8"/>
  <c r="X45" i="8"/>
  <c r="V44" i="8"/>
  <c r="W44" i="8" s="1"/>
  <c r="AC43" i="8"/>
  <c r="AE43" i="8" s="1"/>
  <c r="Z43" i="8"/>
  <c r="Y45" i="8"/>
  <c r="P47" i="8"/>
  <c r="O47" i="8"/>
  <c r="R47" i="8"/>
  <c r="Q47" i="8"/>
  <c r="N47" i="8"/>
  <c r="S47" i="8" s="1"/>
  <c r="E47" i="8"/>
  <c r="AD42" i="8"/>
  <c r="AC42" i="8"/>
  <c r="AE42" i="8" s="1"/>
  <c r="T45" i="8"/>
  <c r="P46" i="8"/>
  <c r="O46" i="8"/>
  <c r="E46" i="8"/>
  <c r="R46" i="8"/>
  <c r="Q46" i="8"/>
  <c r="N46" i="8"/>
  <c r="S46" i="8" s="1"/>
  <c r="AB42" i="8"/>
  <c r="R45" i="1"/>
  <c r="Q45" i="1"/>
  <c r="P45" i="1"/>
  <c r="S44" i="1"/>
  <c r="T44" i="1" s="1"/>
  <c r="U43" i="1"/>
  <c r="V43" i="1" s="1"/>
  <c r="W42" i="1"/>
  <c r="AA42" i="1" s="1"/>
  <c r="X43" i="1"/>
  <c r="Z43" i="1" s="1"/>
  <c r="B47" i="1"/>
  <c r="C47" i="1" s="1"/>
  <c r="D47" i="1" s="1"/>
  <c r="N45" i="1"/>
  <c r="O45" i="1"/>
  <c r="E45" i="1"/>
  <c r="Y46" i="8" l="1"/>
  <c r="T47" i="8"/>
  <c r="Y47" i="8"/>
  <c r="U45" i="8"/>
  <c r="V45" i="8" s="1"/>
  <c r="W45" i="8" s="1"/>
  <c r="AA44" i="8"/>
  <c r="AB44" i="8"/>
  <c r="Z45" i="8"/>
  <c r="T46" i="8"/>
  <c r="AB43" i="8"/>
  <c r="N47" i="1"/>
  <c r="S47" i="1" s="1"/>
  <c r="T47" i="1" s="1"/>
  <c r="Y44" i="1"/>
  <c r="U44" i="1"/>
  <c r="V44" i="1" s="1"/>
  <c r="W44" i="1" s="1"/>
  <c r="Q46" i="1"/>
  <c r="P46" i="1"/>
  <c r="R46" i="1"/>
  <c r="X44" i="1"/>
  <c r="S45" i="1"/>
  <c r="T45" i="1" s="1"/>
  <c r="X45" i="1" s="1"/>
  <c r="W43" i="1"/>
  <c r="AA43" i="1" s="1"/>
  <c r="AC43" i="1" s="1"/>
  <c r="AB42" i="1"/>
  <c r="AD42" i="1"/>
  <c r="AC42" i="1"/>
  <c r="O46" i="1"/>
  <c r="N46" i="1"/>
  <c r="S46" i="1" s="1"/>
  <c r="E46" i="1"/>
  <c r="AA45" i="8" l="1"/>
  <c r="AB45" i="8"/>
  <c r="U46" i="8"/>
  <c r="V46" i="8" s="1"/>
  <c r="W46" i="8" s="1"/>
  <c r="AD44" i="8"/>
  <c r="AC44" i="8"/>
  <c r="V47" i="8"/>
  <c r="W47" i="8" s="1"/>
  <c r="X46" i="8"/>
  <c r="X47" i="8"/>
  <c r="U47" i="8"/>
  <c r="Z44" i="1"/>
  <c r="R47" i="1"/>
  <c r="Y47" i="1" s="1"/>
  <c r="Q47" i="1"/>
  <c r="X47" i="1" s="1"/>
  <c r="O47" i="1"/>
  <c r="E47" i="1"/>
  <c r="P47" i="1"/>
  <c r="U45" i="1"/>
  <c r="V45" i="1" s="1"/>
  <c r="W45" i="1" s="1"/>
  <c r="Y45" i="1"/>
  <c r="Z45" i="1" s="1"/>
  <c r="AA44" i="1"/>
  <c r="AB44" i="1" s="1"/>
  <c r="AE42" i="1"/>
  <c r="U47" i="1"/>
  <c r="AB43" i="1"/>
  <c r="AD43" i="1"/>
  <c r="AE43" i="1" s="1"/>
  <c r="Y46" i="1"/>
  <c r="T46" i="1"/>
  <c r="AA46" i="8" l="1"/>
  <c r="AD46" i="8" s="1"/>
  <c r="AA47" i="8"/>
  <c r="AD47" i="8" s="1"/>
  <c r="AE44" i="8"/>
  <c r="AC47" i="8"/>
  <c r="AE47" i="8" s="1"/>
  <c r="Z47" i="8"/>
  <c r="AC46" i="8"/>
  <c r="AE46" i="8" s="1"/>
  <c r="Z46" i="8"/>
  <c r="AC45" i="8"/>
  <c r="AD45" i="8"/>
  <c r="V47" i="1"/>
  <c r="W47" i="1" s="1"/>
  <c r="AA47" i="1" s="1"/>
  <c r="AC47" i="1" s="1"/>
  <c r="AA45" i="1"/>
  <c r="AC45" i="1" s="1"/>
  <c r="AD44" i="1"/>
  <c r="AC44" i="1"/>
  <c r="X46" i="1"/>
  <c r="Z46" i="1" s="1"/>
  <c r="Z47" i="1"/>
  <c r="U46" i="1"/>
  <c r="AE45" i="8" l="1"/>
  <c r="AB47" i="8"/>
  <c r="AB46" i="8"/>
  <c r="AD45" i="1"/>
  <c r="AE45" i="1" s="1"/>
  <c r="AB45" i="1"/>
  <c r="AE44" i="1"/>
  <c r="V46" i="1"/>
  <c r="W46" i="1" s="1"/>
  <c r="AA46" i="1" s="1"/>
  <c r="AB46" i="1" s="1"/>
  <c r="AD47" i="1"/>
  <c r="AE47" i="1" s="1"/>
  <c r="AB47" i="1"/>
  <c r="AD46" i="1" l="1"/>
  <c r="AC46" i="1"/>
  <c r="AE4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Truls Norby</author>
  </authors>
  <commentList>
    <comment ref="A2" authorId="0" shapeId="0" xr:uid="{03554BF2-24CF-4DF2-9C34-5AAF748BF3B7}">
      <text>
        <r>
          <rPr>
            <b/>
            <sz val="9"/>
            <color indexed="81"/>
            <rFont val="Tahoma"/>
            <family val="2"/>
          </rPr>
          <t>Truls Norby:</t>
        </r>
        <r>
          <rPr>
            <sz val="9"/>
            <color indexed="81"/>
            <rFont val="Tahoma"/>
            <family val="2"/>
          </rPr>
          <t xml:space="preserve">
Set start and step temperatures to generate modelled graphs, for instance, start at 1000 C and set step to -50 C </t>
        </r>
      </text>
    </comment>
    <comment ref="B26" authorId="0" shapeId="0" xr:uid="{A242F10F-C70E-4831-BC6F-1CF0C21D9AF9}">
      <text>
        <r>
          <rPr>
            <b/>
            <sz val="9"/>
            <color indexed="81"/>
            <rFont val="Tahoma"/>
            <family val="2"/>
          </rPr>
          <t>Truls Norby:</t>
        </r>
        <r>
          <rPr>
            <sz val="9"/>
            <color indexed="81"/>
            <rFont val="Tahoma"/>
            <family val="2"/>
          </rPr>
          <t xml:space="preserve">
The pO2 is calculated based on values above and used in the calculations</t>
        </r>
      </text>
    </comment>
    <comment ref="A30" authorId="0" shapeId="0" xr:uid="{4D7EFDED-49E6-4D85-994C-B95A61B14183}">
      <text>
        <r>
          <rPr>
            <b/>
            <sz val="9"/>
            <color indexed="81"/>
            <rFont val="Tahoma"/>
            <family val="2"/>
          </rPr>
          <t>Truls Norby:</t>
        </r>
        <r>
          <rPr>
            <sz val="9"/>
            <color indexed="81"/>
            <rFont val="Tahoma"/>
            <family val="2"/>
          </rPr>
          <t xml:space="preserve">
Write in your own temperatures to replace some of the autogenerated or as a complete list. For instance, if the list has 450 and 400 C and you have data at 425 C, you can write 425 here at the row where the list has 450 (or 400). Your value is selected, unless the cell is left blank.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Truls Norby</author>
  </authors>
  <commentList>
    <comment ref="A2" authorId="0" shapeId="0" xr:uid="{FF93B145-F44F-47E1-B387-6D15C3505DBD}">
      <text>
        <r>
          <rPr>
            <b/>
            <sz val="9"/>
            <color indexed="81"/>
            <rFont val="Tahoma"/>
            <family val="2"/>
          </rPr>
          <t>Truls Norby:</t>
        </r>
        <r>
          <rPr>
            <sz val="9"/>
            <color indexed="81"/>
            <rFont val="Tahoma"/>
            <family val="2"/>
          </rPr>
          <t xml:space="preserve">
Set start and step temperatures to generate modelled graphs, for instance, start at 1000 C and set step to -50 C </t>
        </r>
      </text>
    </comment>
    <comment ref="B26" authorId="0" shapeId="0" xr:uid="{11598E70-CCE6-4D7C-9425-3787D6AC338D}">
      <text>
        <r>
          <rPr>
            <b/>
            <sz val="9"/>
            <color indexed="81"/>
            <rFont val="Tahoma"/>
            <family val="2"/>
          </rPr>
          <t>Truls Norby:</t>
        </r>
        <r>
          <rPr>
            <sz val="9"/>
            <color indexed="81"/>
            <rFont val="Tahoma"/>
            <family val="2"/>
          </rPr>
          <t xml:space="preserve">
The pO2 is calculated based on values above and used in the calculations</t>
        </r>
      </text>
    </comment>
    <comment ref="A30" authorId="0" shapeId="0" xr:uid="{6A815A31-C652-4235-91F3-A2B5500C7789}">
      <text>
        <r>
          <rPr>
            <b/>
            <sz val="9"/>
            <color indexed="81"/>
            <rFont val="Tahoma"/>
            <family val="2"/>
          </rPr>
          <t>Truls Norby:</t>
        </r>
        <r>
          <rPr>
            <sz val="9"/>
            <color indexed="81"/>
            <rFont val="Tahoma"/>
            <family val="2"/>
          </rPr>
          <t xml:space="preserve">
Write in your own temperatures to replace some of the autogenerated or as a complete list. For instance, if the list has 450 and 400 C and you have data at 425 C, you can write 425 here at the row where the list has 450 (or 400). Your value is selected, unless the cell is left blank. </t>
        </r>
      </text>
    </comment>
  </commentList>
</comments>
</file>

<file path=xl/sharedStrings.xml><?xml version="1.0" encoding="utf-8"?>
<sst xmlns="http://schemas.openxmlformats.org/spreadsheetml/2006/main" count="237" uniqueCount="112">
  <si>
    <t>T start</t>
  </si>
  <si>
    <t>°C</t>
  </si>
  <si>
    <t>T step</t>
  </si>
  <si>
    <t>pO2</t>
  </si>
  <si>
    <t>pH2O</t>
  </si>
  <si>
    <t>Temperature</t>
  </si>
  <si>
    <t>Concentrations</t>
  </si>
  <si>
    <t>Conductivity</t>
  </si>
  <si>
    <t>Dry data</t>
  </si>
  <si>
    <t>Wet data</t>
  </si>
  <si>
    <t>T, °C</t>
  </si>
  <si>
    <t>T, K</t>
  </si>
  <si>
    <t>1/T</t>
  </si>
  <si>
    <t>Khyd</t>
  </si>
  <si>
    <t>Kox</t>
  </si>
  <si>
    <t>uh</t>
  </si>
  <si>
    <t>uO2-</t>
  </si>
  <si>
    <t>uH+</t>
  </si>
  <si>
    <t>[OH]</t>
  </si>
  <si>
    <t>[vO**]</t>
  </si>
  <si>
    <t>[Ox]</t>
  </si>
  <si>
    <t>[h]</t>
  </si>
  <si>
    <t>h+</t>
  </si>
  <si>
    <t>O2-</t>
  </si>
  <si>
    <t>H+</t>
  </si>
  <si>
    <t>tot</t>
  </si>
  <si>
    <t>h+ dry</t>
  </si>
  <si>
    <t>O2- dry</t>
  </si>
  <si>
    <t>H+ dry</t>
  </si>
  <si>
    <t>Ionic dry</t>
  </si>
  <si>
    <t>h+ wet</t>
  </si>
  <si>
    <t>O2- wet</t>
  </si>
  <si>
    <t>H+ wet</t>
  </si>
  <si>
    <t>Ionic wet</t>
  </si>
  <si>
    <t>dS0hyd</t>
  </si>
  <si>
    <t>J/molK</t>
  </si>
  <si>
    <t>dH0hyd</t>
  </si>
  <si>
    <t>kJ/mol</t>
  </si>
  <si>
    <t>dS0ox</t>
  </si>
  <si>
    <t>dH0ox</t>
  </si>
  <si>
    <t>cm2K/Vs</t>
  </si>
  <si>
    <t>dHmh+</t>
  </si>
  <si>
    <t>dHmH+</t>
  </si>
  <si>
    <t>[O]</t>
  </si>
  <si>
    <t>dm</t>
  </si>
  <si>
    <t>mol/cm3</t>
  </si>
  <si>
    <t>Molar density</t>
  </si>
  <si>
    <t>u0H+</t>
  </si>
  <si>
    <t>dHmvO**</t>
  </si>
  <si>
    <t>u0vO**</t>
  </si>
  <si>
    <t>bar</t>
  </si>
  <si>
    <t>pfu</t>
  </si>
  <si>
    <t>K</t>
  </si>
  <si>
    <t>u</t>
  </si>
  <si>
    <r>
      <t>[A</t>
    </r>
    <r>
      <rPr>
        <vertAlign val="superscript"/>
        <sz val="11"/>
        <color theme="1"/>
        <rFont val="Calibri"/>
        <family val="2"/>
        <scheme val="minor"/>
      </rPr>
      <t>/</t>
    </r>
    <r>
      <rPr>
        <sz val="11"/>
        <color theme="1"/>
        <rFont val="Calibri"/>
        <family val="2"/>
        <scheme val="minor"/>
      </rPr>
      <t>]</t>
    </r>
    <r>
      <rPr>
        <vertAlign val="subscript"/>
        <sz val="11"/>
        <color theme="1"/>
        <rFont val="Calibri"/>
        <family val="2"/>
        <scheme val="minor"/>
      </rPr>
      <t>eff</t>
    </r>
  </si>
  <si>
    <t>Sum t</t>
  </si>
  <si>
    <t>Auto</t>
  </si>
  <si>
    <t>Manual</t>
  </si>
  <si>
    <t>Used</t>
  </si>
  <si>
    <t>Transport numbers</t>
  </si>
  <si>
    <t>Measured conductivities</t>
  </si>
  <si>
    <t>Ptot</t>
  </si>
  <si>
    <t>XO2 dry</t>
  </si>
  <si>
    <t>h+ meas</t>
  </si>
  <si>
    <t>Ion meas</t>
  </si>
  <si>
    <t>ion</t>
  </si>
  <si>
    <t>ion meas</t>
  </si>
  <si>
    <t>Ion</t>
  </si>
  <si>
    <t>Hydration</t>
  </si>
  <si>
    <t>Oxidation</t>
  </si>
  <si>
    <t>Mobility holes</t>
  </si>
  <si>
    <t>Mobility oxide ions</t>
  </si>
  <si>
    <t>Mobility protons</t>
  </si>
  <si>
    <t>Atmosphere</t>
  </si>
  <si>
    <t>Doping</t>
  </si>
  <si>
    <t>Oxide content</t>
  </si>
  <si>
    <t>u0h*</t>
  </si>
  <si>
    <t>t,C</t>
  </si>
  <si>
    <t>Author: Truls Norby</t>
  </si>
  <si>
    <t>Acknowledgements: Thanks to Ragnar Strandbakke (SINTEF) for checking and correcting and to researchers and PhD students at UiO for collaboration.</t>
  </si>
  <si>
    <t>Version: 0.001 2025-11-28</t>
  </si>
  <si>
    <t xml:space="preserve">Purpose: To predict transport numbers for triple conducting acceptor-doped proton ceramic electrolytes for use in fitting impedance spectra of electrode polarisation, either based on known or standard parameters or by fitting to own measured ionic and electronic partial conductivities. The point is to let you calculate transport numbers under any T, pO2, and pH2O based on a few measurements under selected conditions, most suitably under wet conditions at different temperatures. </t>
  </si>
  <si>
    <t>Notes to this version: This is the first public version - cells are not protected yet and helpnotes are still scarce.</t>
  </si>
  <si>
    <t>Feedback and requests: Please send them to truls.norby@kjemi.uio.no</t>
  </si>
  <si>
    <t xml:space="preserve">Note: The calculations are based on ideal thermodynamics and transport. This means that parameters that fit wet conditions and lower temperatures may not fit drier conditions and higher temperatures. To deal with that you may have to adjust paremeters. Non-ideal thermodynamics and transport may be implemented in updates. </t>
  </si>
  <si>
    <t>Note: The calculations  are for bulk, while results may reflect grain boundary resistance also, and the fitted parameters are therefore an empirical mix of the two.</t>
  </si>
  <si>
    <t>Excel spreadsheet for fitting electronic and ionic conductivity data to a simple model of hydration, oxidation, and transport, and for predicting transport numbers in triple conducting oxides</t>
  </si>
  <si>
    <t xml:space="preserve">Instructions: </t>
  </si>
  <si>
    <t>Edit green fields only! Leave all other fields unchanged.</t>
  </si>
  <si>
    <t>Help is provided in Notes to certain parameters. More will come in later updates.</t>
  </si>
  <si>
    <t>Use the sheet "Transport numbers" for all inputs and outputs. Edit only green fields! Use "Transport numbers Backup" only as backup in case you mess up. Make new copies of "Transport numbers" if needed. Use the sheet "Workspace" for your own needs.</t>
  </si>
  <si>
    <t>The sheet is prefilled with a set of thermodynamic and transport parameters for a proton ceramic BZCY electrolyte. Use this as default to find transport numbers if you have no own inputs or parameters to improve them with.</t>
  </si>
  <si>
    <t xml:space="preserve">It is also prefilled with a set of measured partial electronic and ionic conductivities that fits to the parameters. </t>
  </si>
  <si>
    <t xml:space="preserve">It is also prefilled with settings that generate a table of temperatures, as well as pH2O and pO2. On this basis, you see a figure of calculated and user-entered partial conductivities vs 1/T. You can evaluate the fit of the user-entered conductivities to the relevant calculated ones. You may notice that only total ionic conductivity is entered and that the delineation into protonic and oxide ionic is only made on basis of the bends of the ionic conductivity curve. </t>
  </si>
  <si>
    <t>The next figures show the corresponding transport numbers in linear and logarithmic scales vs 1/T. You can read out numerical values in the tables.</t>
  </si>
  <si>
    <t>If you have own parameters for hydration or oxidation or for any of the charge mobilities, you may edit the corresponding (green) fields.</t>
  </si>
  <si>
    <t>Not in use</t>
  </si>
  <si>
    <t>If you have own measurements of electronic and ionic partial conductivities, you may enter them in the appropriate (green) field. Inputs or partial protonic and oxide ionic conductivity are not in use currently.</t>
  </si>
  <si>
    <t>If you want to use or input data for temperatures other than those that can be generated by a systematic table, you can write in temperatures in the green field that will replace the autogenerated ones. You can hence combine the generated list and your own variations.</t>
  </si>
  <si>
    <t>You may now fit measured and calculated conductivities by adjusting the parameters of hydration and oxidation and the ones for charge mobility. The fitting is entirely manual.</t>
  </si>
  <si>
    <t>Be aware that the model used assumes that electron holes remain in minority concentration-wise. Under this constraint, the parameters for oxidation and for the charge mobility of holes are fully correlated. However, the oxidation thermodynamics must be kept unfavourable enough that the concentration stays minority. For this, we suggest to set its entropy change to -60 J/molK and enthalpy change to 0, and make adjustments only to the preexponential and activation enthalpy of electron holes.</t>
  </si>
  <si>
    <t>User:</t>
  </si>
  <si>
    <t>Date:</t>
  </si>
  <si>
    <t>Material:</t>
  </si>
  <si>
    <t>Comments:</t>
  </si>
  <si>
    <t>Comp:</t>
  </si>
  <si>
    <t>For:</t>
  </si>
  <si>
    <t>TN</t>
  </si>
  <si>
    <t>BZCY</t>
  </si>
  <si>
    <t>BZCY721</t>
  </si>
  <si>
    <t>Wet conditions</t>
  </si>
  <si>
    <t>Results for BZCY721+1%NiO in wet air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</si>
</sst>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vertAlign val="superscript"/>
      <sz val="11"/>
      <color theme="1"/>
      <name val="Calibri"/>
      <family val="2"/>
      <scheme val="minor"/>
    </font>
    <font>
      <vertAlign val="subscript"/>
      <sz val="11"/>
      <color theme="1"/>
      <name val="Calibri"/>
      <family val="2"/>
      <scheme val="minor"/>
    </font>
    <font>
      <sz val="9"/>
      <color indexed="81"/>
      <name val="Tahoma"/>
      <family val="2"/>
    </font>
    <font>
      <b/>
      <sz val="9"/>
      <color indexed="81"/>
      <name val="Tahoma"/>
      <family val="2"/>
    </font>
  </fonts>
  <fills count="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2"/>
        <bgColor indexed="64"/>
      </patternFill>
    </fill>
    <fill>
      <patternFill patternType="solid">
        <fgColor theme="7" tint="0.59999389629810485"/>
        <bgColor indexed="64"/>
      </patternFill>
    </fill>
  </fills>
  <borders count="1">
    <border>
      <left/>
      <right/>
      <top/>
      <bottom/>
      <diagonal/>
    </border>
  </borders>
  <cellStyleXfs count="1">
    <xf numFmtId="0" fontId="0" fillId="0" borderId="0"/>
  </cellStyleXfs>
  <cellXfs count="23">
    <xf numFmtId="0" fontId="0" fillId="0" borderId="0" xfId="0"/>
    <xf numFmtId="11" fontId="0" fillId="2" borderId="0" xfId="0" applyNumberFormat="1" applyFill="1"/>
    <xf numFmtId="11" fontId="0" fillId="0" borderId="0" xfId="0" applyNumberFormat="1"/>
    <xf numFmtId="0" fontId="0" fillId="2" borderId="0" xfId="0" applyFill="1"/>
    <xf numFmtId="0" fontId="0" fillId="3" borderId="0" xfId="0" applyFill="1"/>
    <xf numFmtId="0" fontId="0" fillId="4" borderId="0" xfId="0" applyFill="1"/>
    <xf numFmtId="0" fontId="0" fillId="5" borderId="0" xfId="0" applyFill="1"/>
    <xf numFmtId="0" fontId="0" fillId="6" borderId="0" xfId="0" applyFill="1"/>
    <xf numFmtId="0" fontId="0" fillId="7" borderId="0" xfId="0" applyFill="1"/>
    <xf numFmtId="0" fontId="0" fillId="0" borderId="0" xfId="0" applyAlignment="1">
      <alignment wrapText="1"/>
    </xf>
    <xf numFmtId="0" fontId="0" fillId="0" borderId="0" xfId="0" applyFill="1"/>
    <xf numFmtId="0" fontId="0" fillId="8" borderId="0" xfId="0" applyFill="1"/>
    <xf numFmtId="0" fontId="0" fillId="0" borderId="0" xfId="0" applyAlignment="1"/>
    <xf numFmtId="14" fontId="0" fillId="2" borderId="0" xfId="0" applyNumberFormat="1" applyFill="1"/>
    <xf numFmtId="0" fontId="0" fillId="2" borderId="0" xfId="0" applyFill="1" applyAlignment="1">
      <alignment horizontal="left"/>
    </xf>
    <xf numFmtId="0" fontId="0" fillId="5" borderId="0" xfId="0" applyFill="1" applyAlignment="1">
      <alignment horizontal="center"/>
    </xf>
    <xf numFmtId="0" fontId="0" fillId="6" borderId="0" xfId="0" applyFill="1" applyAlignment="1">
      <alignment horizontal="center"/>
    </xf>
    <xf numFmtId="0" fontId="0" fillId="0" borderId="0" xfId="0" applyAlignment="1">
      <alignment horizontal="center" vertical="center" wrapText="1"/>
    </xf>
    <xf numFmtId="0" fontId="0" fillId="0" borderId="0" xfId="0" applyAlignment="1">
      <alignment horizontal="center" vertical="center"/>
    </xf>
    <xf numFmtId="0" fontId="0" fillId="3" borderId="0" xfId="0" applyFill="1" applyAlignment="1">
      <alignment horizontal="center"/>
    </xf>
    <xf numFmtId="0" fontId="0" fillId="7" borderId="0" xfId="0" applyFill="1" applyAlignment="1">
      <alignment horizontal="center"/>
    </xf>
    <xf numFmtId="0" fontId="0" fillId="4" borderId="0" xfId="0" applyFill="1" applyAlignment="1">
      <alignment horizontal="center"/>
    </xf>
    <xf numFmtId="0" fontId="0" fillId="8" borderId="0" xfId="0"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b-NO"/>
              <a:t>Conductivity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b-NO"/>
        </a:p>
      </c:txPr>
    </c:title>
    <c:autoTitleDeleted val="0"/>
    <c:plotArea>
      <c:layout>
        <c:manualLayout>
          <c:layoutTarget val="inner"/>
          <c:xMode val="edge"/>
          <c:yMode val="edge"/>
          <c:x val="0.18370566095345464"/>
          <c:y val="7.9723851312479069E-2"/>
          <c:w val="0.76100735730181379"/>
          <c:h val="0.87701949470056706"/>
        </c:manualLayout>
      </c:layout>
      <c:scatterChart>
        <c:scatterStyle val="smoothMarker"/>
        <c:varyColors val="0"/>
        <c:ser>
          <c:idx val="0"/>
          <c:order val="0"/>
          <c:tx>
            <c:strRef>
              <c:f>'Transport numbers'!$W$29</c:f>
              <c:strCache>
                <c:ptCount val="1"/>
                <c:pt idx="0">
                  <c:v>h+</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numbers'!$W$31:$W$47</c:f>
              <c:numCache>
                <c:formatCode>General</c:formatCode>
                <c:ptCount val="17"/>
                <c:pt idx="0">
                  <c:v>0.18853570897628408</c:v>
                </c:pt>
                <c:pt idx="1">
                  <c:v>0.15121252005406807</c:v>
                </c:pt>
                <c:pt idx="2">
                  <c:v>0.11855003322279252</c:v>
                </c:pt>
                <c:pt idx="3">
                  <c:v>9.0490078908693372E-2</c:v>
                </c:pt>
                <c:pt idx="4">
                  <c:v>6.6900397284645835E-2</c:v>
                </c:pt>
                <c:pt idx="5">
                  <c:v>4.7572340183152359E-2</c:v>
                </c:pt>
                <c:pt idx="6">
                  <c:v>3.2222565831128043E-2</c:v>
                </c:pt>
                <c:pt idx="7">
                  <c:v>2.0499682157466829E-2</c:v>
                </c:pt>
                <c:pt idx="8">
                  <c:v>1.1995685059159324E-2</c:v>
                </c:pt>
                <c:pt idx="9">
                  <c:v>6.2579559306630917E-3</c:v>
                </c:pt>
                <c:pt idx="10">
                  <c:v>2.787764409208169E-3</c:v>
                </c:pt>
                <c:pt idx="11">
                  <c:v>1.0118163938732977E-3</c:v>
                </c:pt>
                <c:pt idx="12">
                  <c:v>2.8942161033443099E-4</c:v>
                </c:pt>
                <c:pt idx="13">
                  <c:v>6.3917913382532726E-5</c:v>
                </c:pt>
                <c:pt idx="14">
                  <c:v>1.0531128123584402E-5</c:v>
                </c:pt>
                <c:pt idx="15">
                  <c:v>1.2103519149725276E-6</c:v>
                </c:pt>
                <c:pt idx="16">
                  <c:v>8.7025836483965273E-8</c:v>
                </c:pt>
              </c:numCache>
            </c:numRef>
          </c:yVal>
          <c:smooth val="1"/>
          <c:extLst>
            <c:ext xmlns:c16="http://schemas.microsoft.com/office/drawing/2014/chart" uri="{C3380CC4-5D6E-409C-BE32-E72D297353CC}">
              <c16:uniqueId val="{00000000-ABFD-4F64-9166-936149ABCA2C}"/>
            </c:ext>
          </c:extLst>
        </c:ser>
        <c:ser>
          <c:idx val="1"/>
          <c:order val="1"/>
          <c:tx>
            <c:strRef>
              <c:f>'Transport numbers'!$X$29</c:f>
              <c:strCache>
                <c:ptCount val="1"/>
                <c:pt idx="0">
                  <c:v>O2-</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numbers'!$X$31:$X$47</c:f>
              <c:numCache>
                <c:formatCode>General</c:formatCode>
                <c:ptCount val="17"/>
                <c:pt idx="0">
                  <c:v>5.9810424619966586E-2</c:v>
                </c:pt>
                <c:pt idx="1">
                  <c:v>4.7311977951851741E-2</c:v>
                </c:pt>
                <c:pt idx="2">
                  <c:v>3.6457851415716183E-2</c:v>
                </c:pt>
                <c:pt idx="3">
                  <c:v>2.7221584294923395E-2</c:v>
                </c:pt>
                <c:pt idx="4">
                  <c:v>1.9551664008721228E-2</c:v>
                </c:pt>
                <c:pt idx="5">
                  <c:v>1.337110600570246E-2</c:v>
                </c:pt>
                <c:pt idx="6">
                  <c:v>8.5780843788258523E-3</c:v>
                </c:pt>
                <c:pt idx="7">
                  <c:v>5.047225234321143E-3</c:v>
                </c:pt>
                <c:pt idx="8">
                  <c:v>2.6299397269231735E-3</c:v>
                </c:pt>
                <c:pt idx="9">
                  <c:v>1.1500232257734486E-3</c:v>
                </c:pt>
                <c:pt idx="10">
                  <c:v>3.9151991798318995E-4</c:v>
                </c:pt>
                <c:pt idx="11">
                  <c:v>9.5842287627311056E-5</c:v>
                </c:pt>
                <c:pt idx="12">
                  <c:v>1.6077241500112851E-5</c:v>
                </c:pt>
                <c:pt idx="13">
                  <c:v>1.8162092259413617E-6</c:v>
                </c:pt>
                <c:pt idx="14">
                  <c:v>1.3319532583342744E-7</c:v>
                </c:pt>
                <c:pt idx="15">
                  <c:v>5.7964548752998878E-9</c:v>
                </c:pt>
                <c:pt idx="16">
                  <c:v>1.2831505723623145E-10</c:v>
                </c:pt>
              </c:numCache>
            </c:numRef>
          </c:yVal>
          <c:smooth val="1"/>
          <c:extLst>
            <c:ext xmlns:c16="http://schemas.microsoft.com/office/drawing/2014/chart" uri="{C3380CC4-5D6E-409C-BE32-E72D297353CC}">
              <c16:uniqueId val="{00000001-ABFD-4F64-9166-936149ABCA2C}"/>
            </c:ext>
          </c:extLst>
        </c:ser>
        <c:ser>
          <c:idx val="2"/>
          <c:order val="2"/>
          <c:tx>
            <c:strRef>
              <c:f>'Transport numbers'!$Y$29</c:f>
              <c:strCache>
                <c:ptCount val="1"/>
                <c:pt idx="0">
                  <c:v>H+</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numbers'!$Y$31:$Y$47</c:f>
              <c:numCache>
                <c:formatCode>General</c:formatCode>
                <c:ptCount val="17"/>
                <c:pt idx="0">
                  <c:v>7.3017088570741639E-3</c:v>
                </c:pt>
                <c:pt idx="1">
                  <c:v>7.8666250691360965E-3</c:v>
                </c:pt>
                <c:pt idx="2">
                  <c:v>8.4951616198108079E-3</c:v>
                </c:pt>
                <c:pt idx="3">
                  <c:v>9.1893986422415114E-3</c:v>
                </c:pt>
                <c:pt idx="4">
                  <c:v>9.9447167876430993E-3</c:v>
                </c:pt>
                <c:pt idx="5">
                  <c:v>1.0742465863254337E-2</c:v>
                </c:pt>
                <c:pt idx="6">
                  <c:v>1.1536360959948096E-2</c:v>
                </c:pt>
                <c:pt idx="7">
                  <c:v>1.2229013218511933E-2</c:v>
                </c:pt>
                <c:pt idx="8">
                  <c:v>1.2638386184746251E-2</c:v>
                </c:pt>
                <c:pt idx="9">
                  <c:v>1.2476041108373411E-2</c:v>
                </c:pt>
                <c:pt idx="10">
                  <c:v>1.1423851452172312E-2</c:v>
                </c:pt>
                <c:pt idx="11">
                  <c:v>9.4231468551719787E-3</c:v>
                </c:pt>
                <c:pt idx="12">
                  <c:v>6.9279093242084365E-3</c:v>
                </c:pt>
                <c:pt idx="13">
                  <c:v>4.5794246427197172E-3</c:v>
                </c:pt>
                <c:pt idx="14">
                  <c:v>2.7353415270921669E-3</c:v>
                </c:pt>
                <c:pt idx="15">
                  <c:v>1.4580352472333409E-3</c:v>
                </c:pt>
                <c:pt idx="16">
                  <c:v>6.724545783268782E-4</c:v>
                </c:pt>
              </c:numCache>
            </c:numRef>
          </c:yVal>
          <c:smooth val="1"/>
          <c:extLst>
            <c:ext xmlns:c16="http://schemas.microsoft.com/office/drawing/2014/chart" uri="{C3380CC4-5D6E-409C-BE32-E72D297353CC}">
              <c16:uniqueId val="{00000002-ABFD-4F64-9166-936149ABCA2C}"/>
            </c:ext>
          </c:extLst>
        </c:ser>
        <c:ser>
          <c:idx val="7"/>
          <c:order val="3"/>
          <c:tx>
            <c:strRef>
              <c:f>'Transport numbers'!$Z$29</c:f>
              <c:strCache>
                <c:ptCount val="1"/>
                <c:pt idx="0">
                  <c:v>Ion</c:v>
                </c:pt>
              </c:strCache>
            </c:strRef>
          </c:tx>
          <c:spPr>
            <a:ln w="19050"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numbers'!$Z$31:$Z$47</c:f>
              <c:numCache>
                <c:formatCode>General</c:formatCode>
                <c:ptCount val="17"/>
                <c:pt idx="0">
                  <c:v>6.7112133477040745E-2</c:v>
                </c:pt>
                <c:pt idx="1">
                  <c:v>5.5178603020987836E-2</c:v>
                </c:pt>
                <c:pt idx="2">
                  <c:v>4.4953013035526991E-2</c:v>
                </c:pt>
                <c:pt idx="3">
                  <c:v>3.641098293716491E-2</c:v>
                </c:pt>
                <c:pt idx="4">
                  <c:v>2.9496380796364328E-2</c:v>
                </c:pt>
                <c:pt idx="5">
                  <c:v>2.4113571868956796E-2</c:v>
                </c:pt>
                <c:pt idx="6">
                  <c:v>2.0114445338773948E-2</c:v>
                </c:pt>
                <c:pt idx="7">
                  <c:v>1.7276238452833076E-2</c:v>
                </c:pt>
                <c:pt idx="8">
                  <c:v>1.5268325911669425E-2</c:v>
                </c:pt>
                <c:pt idx="9">
                  <c:v>1.362606433414686E-2</c:v>
                </c:pt>
                <c:pt idx="10">
                  <c:v>1.1815371370155502E-2</c:v>
                </c:pt>
                <c:pt idx="11">
                  <c:v>9.51898914279929E-3</c:v>
                </c:pt>
                <c:pt idx="12">
                  <c:v>6.9439865657085495E-3</c:v>
                </c:pt>
                <c:pt idx="13">
                  <c:v>4.5812408519456584E-3</c:v>
                </c:pt>
                <c:pt idx="14">
                  <c:v>2.7354747224180003E-3</c:v>
                </c:pt>
                <c:pt idx="15">
                  <c:v>1.4580410436882162E-3</c:v>
                </c:pt>
                <c:pt idx="16">
                  <c:v>6.7245470664193546E-4</c:v>
                </c:pt>
              </c:numCache>
            </c:numRef>
          </c:yVal>
          <c:smooth val="1"/>
          <c:extLst>
            <c:ext xmlns:c16="http://schemas.microsoft.com/office/drawing/2014/chart" uri="{C3380CC4-5D6E-409C-BE32-E72D297353CC}">
              <c16:uniqueId val="{00000000-C2AB-44F8-A03F-A671FB01159A}"/>
            </c:ext>
          </c:extLst>
        </c:ser>
        <c:ser>
          <c:idx val="3"/>
          <c:order val="4"/>
          <c:tx>
            <c:strRef>
              <c:f>'Transport numbers'!$F$29</c:f>
              <c:strCache>
                <c:ptCount val="1"/>
                <c:pt idx="0">
                  <c:v>h+ meas</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numbers'!$F$31:$F$47</c:f>
              <c:numCache>
                <c:formatCode>General</c:formatCode>
                <c:ptCount val="17"/>
                <c:pt idx="6">
                  <c:v>3.3180000000000001E-2</c:v>
                </c:pt>
                <c:pt idx="7">
                  <c:v>2.0580000000000001E-2</c:v>
                </c:pt>
                <c:pt idx="8">
                  <c:v>1.179E-2</c:v>
                </c:pt>
                <c:pt idx="9">
                  <c:v>5.7499999999999999E-3</c:v>
                </c:pt>
                <c:pt idx="10">
                  <c:v>3.0500000000000002E-3</c:v>
                </c:pt>
                <c:pt idx="11">
                  <c:v>1.32E-3</c:v>
                </c:pt>
                <c:pt idx="12">
                  <c:v>5.4099499999999995E-4</c:v>
                </c:pt>
              </c:numCache>
            </c:numRef>
          </c:yVal>
          <c:smooth val="1"/>
          <c:extLst>
            <c:ext xmlns:c16="http://schemas.microsoft.com/office/drawing/2014/chart" uri="{C3380CC4-5D6E-409C-BE32-E72D297353CC}">
              <c16:uniqueId val="{00000000-08DA-45F3-B361-357133127FFF}"/>
            </c:ext>
          </c:extLst>
        </c:ser>
        <c:ser>
          <c:idx val="4"/>
          <c:order val="5"/>
          <c:tx>
            <c:strRef>
              <c:f>'Transport numbers'!$I$29</c:f>
              <c:strCache>
                <c:ptCount val="1"/>
                <c:pt idx="0">
                  <c:v>Ion meas</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dPt>
            <c:idx val="0"/>
            <c:marker>
              <c:symbol val="circle"/>
              <c:size val="5"/>
              <c:spPr>
                <a:solidFill>
                  <a:schemeClr val="accent5"/>
                </a:solidFill>
                <a:ln w="9525">
                  <a:solidFill>
                    <a:schemeClr val="accent5"/>
                  </a:solidFill>
                </a:ln>
                <a:effectLst/>
              </c:spPr>
            </c:marker>
            <c:bubble3D val="0"/>
            <c:spPr>
              <a:ln w="19050" cap="rnd">
                <a:solidFill>
                  <a:schemeClr val="accent5"/>
                </a:solidFill>
                <a:round/>
              </a:ln>
              <a:effectLst/>
            </c:spPr>
          </c:dPt>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numbers'!$I$31:$I$47</c:f>
              <c:numCache>
                <c:formatCode>General</c:formatCode>
                <c:ptCount val="17"/>
                <c:pt idx="6">
                  <c:v>2.009E-2</c:v>
                </c:pt>
                <c:pt idx="7">
                  <c:v>1.755E-2</c:v>
                </c:pt>
                <c:pt idx="8">
                  <c:v>1.555E-2</c:v>
                </c:pt>
                <c:pt idx="9">
                  <c:v>1.4370000000000001E-2</c:v>
                </c:pt>
                <c:pt idx="10">
                  <c:v>1.209E-2</c:v>
                </c:pt>
                <c:pt idx="11">
                  <c:v>9.1500000000000001E-3</c:v>
                </c:pt>
                <c:pt idx="12">
                  <c:v>6.8999999999999999E-3</c:v>
                </c:pt>
              </c:numCache>
            </c:numRef>
          </c:yVal>
          <c:smooth val="1"/>
          <c:extLst>
            <c:ext xmlns:c16="http://schemas.microsoft.com/office/drawing/2014/chart" uri="{C3380CC4-5D6E-409C-BE32-E72D297353CC}">
              <c16:uniqueId val="{00000001-08DA-45F3-B361-357133127FFF}"/>
            </c:ext>
          </c:extLst>
        </c:ser>
        <c:dLbls>
          <c:showLegendKey val="0"/>
          <c:showVal val="0"/>
          <c:showCatName val="0"/>
          <c:showSerName val="0"/>
          <c:showPercent val="0"/>
          <c:showBubbleSize val="0"/>
        </c:dLbls>
        <c:axId val="336897600"/>
        <c:axId val="2036315456"/>
      </c:scatterChart>
      <c:valAx>
        <c:axId val="336897600"/>
        <c:scaling>
          <c:orientation val="minMax"/>
          <c:min val="5.0000000000000012E-4"/>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1/T (1/K)</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2036315456"/>
        <c:crossesAt val="1.0000000000000004E-6"/>
        <c:crossBetween val="midCat"/>
      </c:valAx>
      <c:valAx>
        <c:axId val="203631545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Conductivity (S/cm)</a:t>
                </a:r>
              </a:p>
              <a:p>
                <a:pPr>
                  <a:defRPr/>
                </a:pPr>
                <a:endParaRPr lang="nb-NO"/>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336897600"/>
        <c:crossesAt val="0"/>
        <c:crossBetween val="midCat"/>
      </c:valAx>
      <c:spPr>
        <a:noFill/>
        <a:ln>
          <a:noFill/>
        </a:ln>
        <a:effectLst/>
      </c:spPr>
    </c:plotArea>
    <c:legend>
      <c:legendPos val="r"/>
      <c:layout>
        <c:manualLayout>
          <c:xMode val="edge"/>
          <c:yMode val="edge"/>
          <c:x val="0.20979994950295644"/>
          <c:y val="0.54988717494493822"/>
          <c:w val="0.20977552302606467"/>
          <c:h val="0.36093764517553678"/>
        </c:manualLayout>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b-N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Transport</a:t>
            </a:r>
            <a:r>
              <a:rPr lang="en-US" baseline="0"/>
              <a:t> numbers linear scale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b-NO"/>
        </a:p>
      </c:txPr>
    </c:title>
    <c:autoTitleDeleted val="0"/>
    <c:plotArea>
      <c:layout>
        <c:manualLayout>
          <c:layoutTarget val="inner"/>
          <c:xMode val="edge"/>
          <c:yMode val="edge"/>
          <c:x val="0.14954822136594628"/>
          <c:y val="0.10444208627414808"/>
          <c:w val="0.79091646602026"/>
          <c:h val="0.79908519331486172"/>
        </c:manualLayout>
      </c:layout>
      <c:scatterChart>
        <c:scatterStyle val="smoothMarker"/>
        <c:varyColors val="0"/>
        <c:ser>
          <c:idx val="0"/>
          <c:order val="0"/>
          <c:tx>
            <c:strRef>
              <c:f>'Transport numbers'!$AB$29</c:f>
              <c:strCache>
                <c:ptCount val="1"/>
                <c:pt idx="0">
                  <c:v>h+</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numbers'!$AB$31:$AB$47</c:f>
              <c:numCache>
                <c:formatCode>General</c:formatCode>
                <c:ptCount val="17"/>
                <c:pt idx="0">
                  <c:v>0.73748210494170774</c:v>
                </c:pt>
                <c:pt idx="1">
                  <c:v>0.73265030879781745</c:v>
                </c:pt>
                <c:pt idx="2">
                  <c:v>0.72506314674709216</c:v>
                </c:pt>
                <c:pt idx="3">
                  <c:v>0.71307582137183456</c:v>
                </c:pt>
                <c:pt idx="4">
                  <c:v>0.69401071920084212</c:v>
                </c:pt>
                <c:pt idx="5">
                  <c:v>0.6636218863836395</c:v>
                </c:pt>
                <c:pt idx="6">
                  <c:v>0.61567455058760823</c:v>
                </c:pt>
                <c:pt idx="7">
                  <c:v>0.54266532294324621</c:v>
                </c:pt>
                <c:pt idx="8">
                  <c:v>0.43998240288247248</c:v>
                </c:pt>
                <c:pt idx="9">
                  <c:v>0.31472287029088403</c:v>
                </c:pt>
                <c:pt idx="10">
                  <c:v>0.19090176598560979</c:v>
                </c:pt>
                <c:pt idx="11">
                  <c:v>9.6081576129170523E-2</c:v>
                </c:pt>
                <c:pt idx="12">
                  <c:v>4.0011790194972571E-2</c:v>
                </c:pt>
                <c:pt idx="13">
                  <c:v>1.3760113832840495E-2</c:v>
                </c:pt>
                <c:pt idx="14">
                  <c:v>3.835071262323562E-3</c:v>
                </c:pt>
                <c:pt idx="15">
                  <c:v>8.2943344691626818E-4</c:v>
                </c:pt>
                <c:pt idx="16">
                  <c:v>1.2939841838998113E-4</c:v>
                </c:pt>
              </c:numCache>
            </c:numRef>
          </c:yVal>
          <c:smooth val="1"/>
          <c:extLst>
            <c:ext xmlns:c16="http://schemas.microsoft.com/office/drawing/2014/chart" uri="{C3380CC4-5D6E-409C-BE32-E72D297353CC}">
              <c16:uniqueId val="{00000000-ABFD-4F64-9166-936149ABCA2C}"/>
            </c:ext>
          </c:extLst>
        </c:ser>
        <c:ser>
          <c:idx val="1"/>
          <c:order val="1"/>
          <c:tx>
            <c:strRef>
              <c:f>'Transport numbers'!$AC$29</c:f>
              <c:strCache>
                <c:ptCount val="1"/>
                <c:pt idx="0">
                  <c:v>O2-</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numbers'!$AC$31:$AC$47</c:f>
              <c:numCache>
                <c:formatCode>General</c:formatCode>
                <c:ptCount val="17"/>
                <c:pt idx="0">
                  <c:v>0.23395630507183543</c:v>
                </c:pt>
                <c:pt idx="1">
                  <c:v>0.22923455838091608</c:v>
                </c:pt>
                <c:pt idx="2">
                  <c:v>0.22297964625145997</c:v>
                </c:pt>
                <c:pt idx="3">
                  <c:v>0.21451029565054688</c:v>
                </c:pt>
                <c:pt idx="4">
                  <c:v>0.20282487026994153</c:v>
                </c:pt>
                <c:pt idx="5">
                  <c:v>0.1865234831075718</c:v>
                </c:pt>
                <c:pt idx="6">
                  <c:v>0.1639009218730271</c:v>
                </c:pt>
                <c:pt idx="7">
                  <c:v>0.13360958919807178</c:v>
                </c:pt>
                <c:pt idx="8">
                  <c:v>9.6461952342121973E-2</c:v>
                </c:pt>
                <c:pt idx="9">
                  <c:v>5.7836554703613929E-2</c:v>
                </c:pt>
                <c:pt idx="10">
                  <c:v>2.681067435779539E-2</c:v>
                </c:pt>
                <c:pt idx="11">
                  <c:v>9.1011354538405326E-3</c:v>
                </c:pt>
                <c:pt idx="12">
                  <c:v>2.2226371177781188E-3</c:v>
                </c:pt>
                <c:pt idx="13">
                  <c:v>3.9098969867245047E-4</c:v>
                </c:pt>
                <c:pt idx="14">
                  <c:v>4.8505113638835765E-5</c:v>
                </c:pt>
                <c:pt idx="15">
                  <c:v>3.9722112946165082E-6</c:v>
                </c:pt>
                <c:pt idx="16">
                  <c:v>1.907912193989372E-7</c:v>
                </c:pt>
              </c:numCache>
            </c:numRef>
          </c:yVal>
          <c:smooth val="1"/>
          <c:extLst>
            <c:ext xmlns:c16="http://schemas.microsoft.com/office/drawing/2014/chart" uri="{C3380CC4-5D6E-409C-BE32-E72D297353CC}">
              <c16:uniqueId val="{00000001-ABFD-4F64-9166-936149ABCA2C}"/>
            </c:ext>
          </c:extLst>
        </c:ser>
        <c:ser>
          <c:idx val="2"/>
          <c:order val="2"/>
          <c:tx>
            <c:strRef>
              <c:f>'Transport numbers'!$AD$29</c:f>
              <c:strCache>
                <c:ptCount val="1"/>
                <c:pt idx="0">
                  <c:v>H+</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numbers'!$AD$31:$AD$47</c:f>
              <c:numCache>
                <c:formatCode>General</c:formatCode>
                <c:ptCount val="17"/>
                <c:pt idx="0">
                  <c:v>2.8561589986456783E-2</c:v>
                </c:pt>
                <c:pt idx="1">
                  <c:v>3.8115132821266398E-2</c:v>
                </c:pt>
                <c:pt idx="2">
                  <c:v>5.1957207001447833E-2</c:v>
                </c:pt>
                <c:pt idx="3">
                  <c:v>7.2413882977618513E-2</c:v>
                </c:pt>
                <c:pt idx="4">
                  <c:v>0.10316441052921638</c:v>
                </c:pt>
                <c:pt idx="5">
                  <c:v>0.14985463050878867</c:v>
                </c:pt>
                <c:pt idx="6">
                  <c:v>0.22042452753936462</c:v>
                </c:pt>
                <c:pt idx="7">
                  <c:v>0.32372508785868198</c:v>
                </c:pt>
                <c:pt idx="8">
                  <c:v>0.46355564477540556</c:v>
                </c:pt>
                <c:pt idx="9">
                  <c:v>0.6274405750055021</c:v>
                </c:pt>
                <c:pt idx="10">
                  <c:v>0.78228755965659491</c:v>
                </c:pt>
                <c:pt idx="11">
                  <c:v>0.89481728841698893</c:v>
                </c:pt>
                <c:pt idx="12">
                  <c:v>0.95776557268724927</c:v>
                </c:pt>
                <c:pt idx="13">
                  <c:v>0.98584889646848706</c:v>
                </c:pt>
                <c:pt idx="14">
                  <c:v>0.99611642362403752</c:v>
                </c:pt>
                <c:pt idx="15">
                  <c:v>0.99916659434178923</c:v>
                </c:pt>
                <c:pt idx="16">
                  <c:v>0.99987041079039063</c:v>
                </c:pt>
              </c:numCache>
            </c:numRef>
          </c:yVal>
          <c:smooth val="1"/>
          <c:extLst>
            <c:ext xmlns:c16="http://schemas.microsoft.com/office/drawing/2014/chart" uri="{C3380CC4-5D6E-409C-BE32-E72D297353CC}">
              <c16:uniqueId val="{00000002-ABFD-4F64-9166-936149ABCA2C}"/>
            </c:ext>
          </c:extLst>
        </c:ser>
        <c:ser>
          <c:idx val="3"/>
          <c:order val="3"/>
          <c:tx>
            <c:strRef>
              <c:f>'Transport numbers'!$AE$29</c:f>
              <c:strCache>
                <c:ptCount val="1"/>
                <c:pt idx="0">
                  <c:v>ion</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numbers'!$AE$31:$AE$47</c:f>
              <c:numCache>
                <c:formatCode>General</c:formatCode>
                <c:ptCount val="17"/>
                <c:pt idx="0">
                  <c:v>0.26251789505829221</c:v>
                </c:pt>
                <c:pt idx="1">
                  <c:v>0.26734969120218249</c:v>
                </c:pt>
                <c:pt idx="2">
                  <c:v>0.27493685325290779</c:v>
                </c:pt>
                <c:pt idx="3">
                  <c:v>0.28692417862816538</c:v>
                </c:pt>
                <c:pt idx="4">
                  <c:v>0.30598928079915788</c:v>
                </c:pt>
                <c:pt idx="5">
                  <c:v>0.3363781136163605</c:v>
                </c:pt>
                <c:pt idx="6">
                  <c:v>0.38432544941239172</c:v>
                </c:pt>
                <c:pt idx="7">
                  <c:v>0.45733467705675379</c:v>
                </c:pt>
                <c:pt idx="8">
                  <c:v>0.56001759711752752</c:v>
                </c:pt>
                <c:pt idx="9">
                  <c:v>0.68527712970911603</c:v>
                </c:pt>
                <c:pt idx="10">
                  <c:v>0.80909823401439029</c:v>
                </c:pt>
                <c:pt idx="11">
                  <c:v>0.90391842387082943</c:v>
                </c:pt>
                <c:pt idx="12">
                  <c:v>0.95998820980502741</c:v>
                </c:pt>
                <c:pt idx="13">
                  <c:v>0.98623988616715952</c:v>
                </c:pt>
                <c:pt idx="14">
                  <c:v>0.99616492873767637</c:v>
                </c:pt>
                <c:pt idx="15">
                  <c:v>0.99917056655308389</c:v>
                </c:pt>
                <c:pt idx="16">
                  <c:v>0.99987060158161001</c:v>
                </c:pt>
              </c:numCache>
            </c:numRef>
          </c:yVal>
          <c:smooth val="1"/>
          <c:extLst>
            <c:ext xmlns:c16="http://schemas.microsoft.com/office/drawing/2014/chart" uri="{C3380CC4-5D6E-409C-BE32-E72D297353CC}">
              <c16:uniqueId val="{00000001-5DD3-404D-922B-BD03AB563C4A}"/>
            </c:ext>
          </c:extLst>
        </c:ser>
        <c:ser>
          <c:idx val="4"/>
          <c:order val="4"/>
          <c:tx>
            <c:strRef>
              <c:f>'Transport numbers'!$K$29</c:f>
              <c:strCache>
                <c:ptCount val="1"/>
                <c:pt idx="0">
                  <c:v>h+ meas</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xVal>
            <c:numRef>
              <c:f>'Transport numbers'!$E$37:$E$43</c:f>
              <c:numCache>
                <c:formatCode>General</c:formatCode>
                <c:ptCount val="7"/>
                <c:pt idx="0">
                  <c:v>1.0275908133381287E-3</c:v>
                </c:pt>
                <c:pt idx="1">
                  <c:v>1.0832475762335481E-3</c:v>
                </c:pt>
                <c:pt idx="2">
                  <c:v>1.1452785890167783E-3</c:v>
                </c:pt>
                <c:pt idx="3">
                  <c:v>1.2148454109214603E-3</c:v>
                </c:pt>
                <c:pt idx="4">
                  <c:v>1.2934100756644895E-3</c:v>
                </c:pt>
                <c:pt idx="5">
                  <c:v>1.3828389684021297E-3</c:v>
                </c:pt>
                <c:pt idx="6">
                  <c:v>1.4855529971031717E-3</c:v>
                </c:pt>
              </c:numCache>
            </c:numRef>
          </c:xVal>
          <c:yVal>
            <c:numRef>
              <c:f>'Transport numbers'!$K$37:$K$43</c:f>
              <c:numCache>
                <c:formatCode>General</c:formatCode>
                <c:ptCount val="7"/>
                <c:pt idx="0">
                  <c:v>0.62286465177398165</c:v>
                </c:pt>
                <c:pt idx="1">
                  <c:v>0.5397324940991346</c:v>
                </c:pt>
                <c:pt idx="2">
                  <c:v>0.43123628383321144</c:v>
                </c:pt>
                <c:pt idx="3">
                  <c:v>0.28578528827037775</c:v>
                </c:pt>
                <c:pt idx="4">
                  <c:v>0.20145310435931307</c:v>
                </c:pt>
                <c:pt idx="5">
                  <c:v>0.12607449856733524</c:v>
                </c:pt>
                <c:pt idx="6">
                  <c:v>7.2704658449575618E-2</c:v>
                </c:pt>
              </c:numCache>
            </c:numRef>
          </c:yVal>
          <c:smooth val="1"/>
          <c:extLst>
            <c:ext xmlns:c16="http://schemas.microsoft.com/office/drawing/2014/chart" uri="{C3380CC4-5D6E-409C-BE32-E72D297353CC}">
              <c16:uniqueId val="{00000003-5DD3-404D-922B-BD03AB563C4A}"/>
            </c:ext>
          </c:extLst>
        </c:ser>
        <c:ser>
          <c:idx val="5"/>
          <c:order val="5"/>
          <c:tx>
            <c:strRef>
              <c:f>'Transport numbers'!$L$29</c:f>
              <c:strCache>
                <c:ptCount val="1"/>
                <c:pt idx="0">
                  <c:v>ion meas</c:v>
                </c:pt>
              </c:strCache>
            </c:strRef>
          </c:tx>
          <c:spPr>
            <a:ln w="19050" cap="rnd">
              <a:solidFill>
                <a:schemeClr val="accent6"/>
              </a:solidFill>
              <a:round/>
            </a:ln>
            <a:effectLst/>
          </c:spPr>
          <c:marker>
            <c:symbol val="circle"/>
            <c:size val="5"/>
            <c:spPr>
              <a:solidFill>
                <a:schemeClr val="accent6"/>
              </a:solidFill>
              <a:ln w="9525">
                <a:solidFill>
                  <a:schemeClr val="accent6"/>
                </a:solidFill>
              </a:ln>
              <a:effectLst/>
            </c:spPr>
          </c:marker>
          <c:xVal>
            <c:numRef>
              <c:f>'Transport numbers'!$E$37:$E$43</c:f>
              <c:numCache>
                <c:formatCode>General</c:formatCode>
                <c:ptCount val="7"/>
                <c:pt idx="0">
                  <c:v>1.0275908133381287E-3</c:v>
                </c:pt>
                <c:pt idx="1">
                  <c:v>1.0832475762335481E-3</c:v>
                </c:pt>
                <c:pt idx="2">
                  <c:v>1.1452785890167783E-3</c:v>
                </c:pt>
                <c:pt idx="3">
                  <c:v>1.2148454109214603E-3</c:v>
                </c:pt>
                <c:pt idx="4">
                  <c:v>1.2934100756644895E-3</c:v>
                </c:pt>
                <c:pt idx="5">
                  <c:v>1.3828389684021297E-3</c:v>
                </c:pt>
                <c:pt idx="6">
                  <c:v>1.4855529971031717E-3</c:v>
                </c:pt>
              </c:numCache>
            </c:numRef>
          </c:xVal>
          <c:yVal>
            <c:numRef>
              <c:f>'Transport numbers'!$L$37:$L$43</c:f>
              <c:numCache>
                <c:formatCode>General</c:formatCode>
                <c:ptCount val="7"/>
                <c:pt idx="0">
                  <c:v>0.37713534822601841</c:v>
                </c:pt>
                <c:pt idx="1">
                  <c:v>0.46026750590086546</c:v>
                </c:pt>
                <c:pt idx="2">
                  <c:v>0.56876371616678856</c:v>
                </c:pt>
                <c:pt idx="3">
                  <c:v>0.71421471172962236</c:v>
                </c:pt>
                <c:pt idx="4">
                  <c:v>0.79854689564068693</c:v>
                </c:pt>
                <c:pt idx="5">
                  <c:v>0.87392550143266479</c:v>
                </c:pt>
                <c:pt idx="6">
                  <c:v>0.92729534155042437</c:v>
                </c:pt>
              </c:numCache>
            </c:numRef>
          </c:yVal>
          <c:smooth val="1"/>
          <c:extLst>
            <c:ext xmlns:c16="http://schemas.microsoft.com/office/drawing/2014/chart" uri="{C3380CC4-5D6E-409C-BE32-E72D297353CC}">
              <c16:uniqueId val="{00000004-5DD3-404D-922B-BD03AB563C4A}"/>
            </c:ext>
          </c:extLst>
        </c:ser>
        <c:dLbls>
          <c:showLegendKey val="0"/>
          <c:showVal val="0"/>
          <c:showCatName val="0"/>
          <c:showSerName val="0"/>
          <c:showPercent val="0"/>
          <c:showBubbleSize val="0"/>
        </c:dLbls>
        <c:axId val="336897600"/>
        <c:axId val="2036315456"/>
      </c:scatterChart>
      <c:valAx>
        <c:axId val="336897600"/>
        <c:scaling>
          <c:orientation val="minMax"/>
          <c:min val="5.0000000000000012E-4"/>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1/T (1/K)</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2036315456"/>
        <c:crossesAt val="1.0000000000000004E-6"/>
        <c:crossBetween val="midCat"/>
      </c:valAx>
      <c:valAx>
        <c:axId val="2036315456"/>
        <c:scaling>
          <c:orientation val="minMax"/>
          <c:max val="1"/>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Transport number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336897600"/>
        <c:crossesAt val="0"/>
        <c:crossBetween val="midCat"/>
      </c:valAx>
      <c:spPr>
        <a:noFill/>
        <a:ln>
          <a:noFill/>
        </a:ln>
        <a:effectLst/>
      </c:spPr>
    </c:plotArea>
    <c:legend>
      <c:legendPos val="r"/>
      <c:layout>
        <c:manualLayout>
          <c:xMode val="edge"/>
          <c:yMode val="edge"/>
          <c:x val="0.64919422572178476"/>
          <c:y val="0.39505748003143182"/>
          <c:w val="0.17633203447105048"/>
          <c:h val="0.28511284037029877"/>
        </c:manualLayout>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b-N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Transport</a:t>
            </a:r>
            <a:r>
              <a:rPr lang="en-US" baseline="0"/>
              <a:t> numbers log scale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b-NO"/>
        </a:p>
      </c:txPr>
    </c:title>
    <c:autoTitleDeleted val="0"/>
    <c:plotArea>
      <c:layout>
        <c:manualLayout>
          <c:layoutTarget val="inner"/>
          <c:xMode val="edge"/>
          <c:yMode val="edge"/>
          <c:x val="0.20778937007874015"/>
          <c:y val="0.10444208627414808"/>
          <c:w val="0.71614276035152225"/>
          <c:h val="0.84582244277755803"/>
        </c:manualLayout>
      </c:layout>
      <c:scatterChart>
        <c:scatterStyle val="smoothMarker"/>
        <c:varyColors val="0"/>
        <c:ser>
          <c:idx val="0"/>
          <c:order val="0"/>
          <c:tx>
            <c:strRef>
              <c:f>'Transport numbers'!$AB$29</c:f>
              <c:strCache>
                <c:ptCount val="1"/>
                <c:pt idx="0">
                  <c:v>h+</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numbers'!$AB$31:$AB$47</c:f>
              <c:numCache>
                <c:formatCode>General</c:formatCode>
                <c:ptCount val="17"/>
                <c:pt idx="0">
                  <c:v>0.73748210494170774</c:v>
                </c:pt>
                <c:pt idx="1">
                  <c:v>0.73265030879781745</c:v>
                </c:pt>
                <c:pt idx="2">
                  <c:v>0.72506314674709216</c:v>
                </c:pt>
                <c:pt idx="3">
                  <c:v>0.71307582137183456</c:v>
                </c:pt>
                <c:pt idx="4">
                  <c:v>0.69401071920084212</c:v>
                </c:pt>
                <c:pt idx="5">
                  <c:v>0.6636218863836395</c:v>
                </c:pt>
                <c:pt idx="6">
                  <c:v>0.61567455058760823</c:v>
                </c:pt>
                <c:pt idx="7">
                  <c:v>0.54266532294324621</c:v>
                </c:pt>
                <c:pt idx="8">
                  <c:v>0.43998240288247248</c:v>
                </c:pt>
                <c:pt idx="9">
                  <c:v>0.31472287029088403</c:v>
                </c:pt>
                <c:pt idx="10">
                  <c:v>0.19090176598560979</c:v>
                </c:pt>
                <c:pt idx="11">
                  <c:v>9.6081576129170523E-2</c:v>
                </c:pt>
                <c:pt idx="12">
                  <c:v>4.0011790194972571E-2</c:v>
                </c:pt>
                <c:pt idx="13">
                  <c:v>1.3760113832840495E-2</c:v>
                </c:pt>
                <c:pt idx="14">
                  <c:v>3.835071262323562E-3</c:v>
                </c:pt>
                <c:pt idx="15">
                  <c:v>8.2943344691626818E-4</c:v>
                </c:pt>
                <c:pt idx="16">
                  <c:v>1.2939841838998113E-4</c:v>
                </c:pt>
              </c:numCache>
            </c:numRef>
          </c:yVal>
          <c:smooth val="1"/>
          <c:extLst>
            <c:ext xmlns:c16="http://schemas.microsoft.com/office/drawing/2014/chart" uri="{C3380CC4-5D6E-409C-BE32-E72D297353CC}">
              <c16:uniqueId val="{00000000-ABFD-4F64-9166-936149ABCA2C}"/>
            </c:ext>
          </c:extLst>
        </c:ser>
        <c:ser>
          <c:idx val="1"/>
          <c:order val="1"/>
          <c:tx>
            <c:strRef>
              <c:f>'Transport numbers'!$AC$29</c:f>
              <c:strCache>
                <c:ptCount val="1"/>
                <c:pt idx="0">
                  <c:v>O2-</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numbers'!$AC$31:$AC$47</c:f>
              <c:numCache>
                <c:formatCode>General</c:formatCode>
                <c:ptCount val="17"/>
                <c:pt idx="0">
                  <c:v>0.23395630507183543</c:v>
                </c:pt>
                <c:pt idx="1">
                  <c:v>0.22923455838091608</c:v>
                </c:pt>
                <c:pt idx="2">
                  <c:v>0.22297964625145997</c:v>
                </c:pt>
                <c:pt idx="3">
                  <c:v>0.21451029565054688</c:v>
                </c:pt>
                <c:pt idx="4">
                  <c:v>0.20282487026994153</c:v>
                </c:pt>
                <c:pt idx="5">
                  <c:v>0.1865234831075718</c:v>
                </c:pt>
                <c:pt idx="6">
                  <c:v>0.1639009218730271</c:v>
                </c:pt>
                <c:pt idx="7">
                  <c:v>0.13360958919807178</c:v>
                </c:pt>
                <c:pt idx="8">
                  <c:v>9.6461952342121973E-2</c:v>
                </c:pt>
                <c:pt idx="9">
                  <c:v>5.7836554703613929E-2</c:v>
                </c:pt>
                <c:pt idx="10">
                  <c:v>2.681067435779539E-2</c:v>
                </c:pt>
                <c:pt idx="11">
                  <c:v>9.1011354538405326E-3</c:v>
                </c:pt>
                <c:pt idx="12">
                  <c:v>2.2226371177781188E-3</c:v>
                </c:pt>
                <c:pt idx="13">
                  <c:v>3.9098969867245047E-4</c:v>
                </c:pt>
                <c:pt idx="14">
                  <c:v>4.8505113638835765E-5</c:v>
                </c:pt>
                <c:pt idx="15">
                  <c:v>3.9722112946165082E-6</c:v>
                </c:pt>
                <c:pt idx="16">
                  <c:v>1.907912193989372E-7</c:v>
                </c:pt>
              </c:numCache>
            </c:numRef>
          </c:yVal>
          <c:smooth val="1"/>
          <c:extLst>
            <c:ext xmlns:c16="http://schemas.microsoft.com/office/drawing/2014/chart" uri="{C3380CC4-5D6E-409C-BE32-E72D297353CC}">
              <c16:uniqueId val="{00000001-ABFD-4F64-9166-936149ABCA2C}"/>
            </c:ext>
          </c:extLst>
        </c:ser>
        <c:ser>
          <c:idx val="2"/>
          <c:order val="2"/>
          <c:tx>
            <c:strRef>
              <c:f>'Transport numbers'!$AD$29</c:f>
              <c:strCache>
                <c:ptCount val="1"/>
                <c:pt idx="0">
                  <c:v>H+</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numbers'!$AD$31:$AD$47</c:f>
              <c:numCache>
                <c:formatCode>General</c:formatCode>
                <c:ptCount val="17"/>
                <c:pt idx="0">
                  <c:v>2.8561589986456783E-2</c:v>
                </c:pt>
                <c:pt idx="1">
                  <c:v>3.8115132821266398E-2</c:v>
                </c:pt>
                <c:pt idx="2">
                  <c:v>5.1957207001447833E-2</c:v>
                </c:pt>
                <c:pt idx="3">
                  <c:v>7.2413882977618513E-2</c:v>
                </c:pt>
                <c:pt idx="4">
                  <c:v>0.10316441052921638</c:v>
                </c:pt>
                <c:pt idx="5">
                  <c:v>0.14985463050878867</c:v>
                </c:pt>
                <c:pt idx="6">
                  <c:v>0.22042452753936462</c:v>
                </c:pt>
                <c:pt idx="7">
                  <c:v>0.32372508785868198</c:v>
                </c:pt>
                <c:pt idx="8">
                  <c:v>0.46355564477540556</c:v>
                </c:pt>
                <c:pt idx="9">
                  <c:v>0.6274405750055021</c:v>
                </c:pt>
                <c:pt idx="10">
                  <c:v>0.78228755965659491</c:v>
                </c:pt>
                <c:pt idx="11">
                  <c:v>0.89481728841698893</c:v>
                </c:pt>
                <c:pt idx="12">
                  <c:v>0.95776557268724927</c:v>
                </c:pt>
                <c:pt idx="13">
                  <c:v>0.98584889646848706</c:v>
                </c:pt>
                <c:pt idx="14">
                  <c:v>0.99611642362403752</c:v>
                </c:pt>
                <c:pt idx="15">
                  <c:v>0.99916659434178923</c:v>
                </c:pt>
                <c:pt idx="16">
                  <c:v>0.99987041079039063</c:v>
                </c:pt>
              </c:numCache>
            </c:numRef>
          </c:yVal>
          <c:smooth val="1"/>
          <c:extLst>
            <c:ext xmlns:c16="http://schemas.microsoft.com/office/drawing/2014/chart" uri="{C3380CC4-5D6E-409C-BE32-E72D297353CC}">
              <c16:uniqueId val="{00000002-ABFD-4F64-9166-936149ABCA2C}"/>
            </c:ext>
          </c:extLst>
        </c:ser>
        <c:ser>
          <c:idx val="3"/>
          <c:order val="3"/>
          <c:tx>
            <c:strRef>
              <c:f>'Transport numbers'!$AE$29</c:f>
              <c:strCache>
                <c:ptCount val="1"/>
                <c:pt idx="0">
                  <c:v>ion</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xVal>
            <c:numRef>
              <c:f>'Transport numbers'!$E$31:$E$47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numbers'!$AE$31:$AE$47</c:f>
              <c:numCache>
                <c:formatCode>General</c:formatCode>
                <c:ptCount val="17"/>
                <c:pt idx="0">
                  <c:v>0.26251789505829221</c:v>
                </c:pt>
                <c:pt idx="1">
                  <c:v>0.26734969120218249</c:v>
                </c:pt>
                <c:pt idx="2">
                  <c:v>0.27493685325290779</c:v>
                </c:pt>
                <c:pt idx="3">
                  <c:v>0.28692417862816538</c:v>
                </c:pt>
                <c:pt idx="4">
                  <c:v>0.30598928079915788</c:v>
                </c:pt>
                <c:pt idx="5">
                  <c:v>0.3363781136163605</c:v>
                </c:pt>
                <c:pt idx="6">
                  <c:v>0.38432544941239172</c:v>
                </c:pt>
                <c:pt idx="7">
                  <c:v>0.45733467705675379</c:v>
                </c:pt>
                <c:pt idx="8">
                  <c:v>0.56001759711752752</c:v>
                </c:pt>
                <c:pt idx="9">
                  <c:v>0.68527712970911603</c:v>
                </c:pt>
                <c:pt idx="10">
                  <c:v>0.80909823401439029</c:v>
                </c:pt>
                <c:pt idx="11">
                  <c:v>0.90391842387082943</c:v>
                </c:pt>
                <c:pt idx="12">
                  <c:v>0.95998820980502741</c:v>
                </c:pt>
                <c:pt idx="13">
                  <c:v>0.98623988616715952</c:v>
                </c:pt>
                <c:pt idx="14">
                  <c:v>0.99616492873767637</c:v>
                </c:pt>
                <c:pt idx="15">
                  <c:v>0.99917056655308389</c:v>
                </c:pt>
                <c:pt idx="16">
                  <c:v>0.99987060158161001</c:v>
                </c:pt>
              </c:numCache>
            </c:numRef>
          </c:yVal>
          <c:smooth val="1"/>
          <c:extLst>
            <c:ext xmlns:c16="http://schemas.microsoft.com/office/drawing/2014/chart" uri="{C3380CC4-5D6E-409C-BE32-E72D297353CC}">
              <c16:uniqueId val="{00000000-EB51-4C8F-8A07-568EBCE3E846}"/>
            </c:ext>
          </c:extLst>
        </c:ser>
        <c:ser>
          <c:idx val="4"/>
          <c:order val="4"/>
          <c:tx>
            <c:strRef>
              <c:f>'Transport numbers'!$K$29</c:f>
              <c:strCache>
                <c:ptCount val="1"/>
                <c:pt idx="0">
                  <c:v>h+ meas</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xVal>
            <c:numRef>
              <c:f>'Transport numbers'!$E$37:$E$42</c:f>
              <c:numCache>
                <c:formatCode>General</c:formatCode>
                <c:ptCount val="6"/>
                <c:pt idx="0">
                  <c:v>1.0275908133381287E-3</c:v>
                </c:pt>
                <c:pt idx="1">
                  <c:v>1.0832475762335481E-3</c:v>
                </c:pt>
                <c:pt idx="2">
                  <c:v>1.1452785890167783E-3</c:v>
                </c:pt>
                <c:pt idx="3">
                  <c:v>1.2148454109214603E-3</c:v>
                </c:pt>
                <c:pt idx="4">
                  <c:v>1.2934100756644895E-3</c:v>
                </c:pt>
                <c:pt idx="5">
                  <c:v>1.3828389684021297E-3</c:v>
                </c:pt>
              </c:numCache>
            </c:numRef>
          </c:xVal>
          <c:yVal>
            <c:numRef>
              <c:f>'Transport numbers'!$K$37:$K$43</c:f>
              <c:numCache>
                <c:formatCode>General</c:formatCode>
                <c:ptCount val="7"/>
                <c:pt idx="0">
                  <c:v>0.62286465177398165</c:v>
                </c:pt>
                <c:pt idx="1">
                  <c:v>0.5397324940991346</c:v>
                </c:pt>
                <c:pt idx="2">
                  <c:v>0.43123628383321144</c:v>
                </c:pt>
                <c:pt idx="3">
                  <c:v>0.28578528827037775</c:v>
                </c:pt>
                <c:pt idx="4">
                  <c:v>0.20145310435931307</c:v>
                </c:pt>
                <c:pt idx="5">
                  <c:v>0.12607449856733524</c:v>
                </c:pt>
                <c:pt idx="6">
                  <c:v>7.2704658449575618E-2</c:v>
                </c:pt>
              </c:numCache>
            </c:numRef>
          </c:yVal>
          <c:smooth val="1"/>
          <c:extLst>
            <c:ext xmlns:c16="http://schemas.microsoft.com/office/drawing/2014/chart" uri="{C3380CC4-5D6E-409C-BE32-E72D297353CC}">
              <c16:uniqueId val="{00000001-EB51-4C8F-8A07-568EBCE3E846}"/>
            </c:ext>
          </c:extLst>
        </c:ser>
        <c:ser>
          <c:idx val="5"/>
          <c:order val="5"/>
          <c:tx>
            <c:strRef>
              <c:f>'Transport numbers'!$L$29</c:f>
              <c:strCache>
                <c:ptCount val="1"/>
                <c:pt idx="0">
                  <c:v>ion meas</c:v>
                </c:pt>
              </c:strCache>
            </c:strRef>
          </c:tx>
          <c:spPr>
            <a:ln w="19050" cap="rnd">
              <a:solidFill>
                <a:schemeClr val="accent6"/>
              </a:solidFill>
              <a:round/>
            </a:ln>
            <a:effectLst/>
          </c:spPr>
          <c:marker>
            <c:symbol val="circle"/>
            <c:size val="5"/>
            <c:spPr>
              <a:solidFill>
                <a:schemeClr val="accent6"/>
              </a:solidFill>
              <a:ln w="9525">
                <a:solidFill>
                  <a:schemeClr val="accent6"/>
                </a:solidFill>
              </a:ln>
              <a:effectLst/>
            </c:spPr>
          </c:marker>
          <c:xVal>
            <c:numRef>
              <c:f>'Transport numbers'!$E$37:$E$43</c:f>
              <c:numCache>
                <c:formatCode>General</c:formatCode>
                <c:ptCount val="7"/>
                <c:pt idx="0">
                  <c:v>1.0275908133381287E-3</c:v>
                </c:pt>
                <c:pt idx="1">
                  <c:v>1.0832475762335481E-3</c:v>
                </c:pt>
                <c:pt idx="2">
                  <c:v>1.1452785890167783E-3</c:v>
                </c:pt>
                <c:pt idx="3">
                  <c:v>1.2148454109214603E-3</c:v>
                </c:pt>
                <c:pt idx="4">
                  <c:v>1.2934100756644895E-3</c:v>
                </c:pt>
                <c:pt idx="5">
                  <c:v>1.3828389684021297E-3</c:v>
                </c:pt>
                <c:pt idx="6">
                  <c:v>1.4855529971031717E-3</c:v>
                </c:pt>
              </c:numCache>
            </c:numRef>
          </c:xVal>
          <c:yVal>
            <c:numRef>
              <c:f>'Transport numbers'!$L$37:$L$43</c:f>
              <c:numCache>
                <c:formatCode>General</c:formatCode>
                <c:ptCount val="7"/>
                <c:pt idx="0">
                  <c:v>0.37713534822601841</c:v>
                </c:pt>
                <c:pt idx="1">
                  <c:v>0.46026750590086546</c:v>
                </c:pt>
                <c:pt idx="2">
                  <c:v>0.56876371616678856</c:v>
                </c:pt>
                <c:pt idx="3">
                  <c:v>0.71421471172962236</c:v>
                </c:pt>
                <c:pt idx="4">
                  <c:v>0.79854689564068693</c:v>
                </c:pt>
                <c:pt idx="5">
                  <c:v>0.87392550143266479</c:v>
                </c:pt>
                <c:pt idx="6">
                  <c:v>0.92729534155042437</c:v>
                </c:pt>
              </c:numCache>
            </c:numRef>
          </c:yVal>
          <c:smooth val="1"/>
          <c:extLst>
            <c:ext xmlns:c16="http://schemas.microsoft.com/office/drawing/2014/chart" uri="{C3380CC4-5D6E-409C-BE32-E72D297353CC}">
              <c16:uniqueId val="{00000002-EB51-4C8F-8A07-568EBCE3E846}"/>
            </c:ext>
          </c:extLst>
        </c:ser>
        <c:dLbls>
          <c:showLegendKey val="0"/>
          <c:showVal val="0"/>
          <c:showCatName val="0"/>
          <c:showSerName val="0"/>
          <c:showPercent val="0"/>
          <c:showBubbleSize val="0"/>
        </c:dLbls>
        <c:axId val="336897600"/>
        <c:axId val="2036315456"/>
      </c:scatterChart>
      <c:valAx>
        <c:axId val="336897600"/>
        <c:scaling>
          <c:orientation val="minMax"/>
          <c:min val="5.0000000000000012E-4"/>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1/T (1/K)</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2036315456"/>
        <c:crossesAt val="1.0000000000000004E-6"/>
        <c:crossBetween val="midCat"/>
      </c:valAx>
      <c:valAx>
        <c:axId val="203631545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Transport number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336897600"/>
        <c:crossesAt val="0"/>
        <c:crossBetween val="midCat"/>
      </c:valAx>
      <c:spPr>
        <a:noFill/>
        <a:ln>
          <a:noFill/>
        </a:ln>
        <a:effectLst/>
      </c:spPr>
    </c:plotArea>
    <c:legend>
      <c:legendPos val="r"/>
      <c:layout>
        <c:manualLayout>
          <c:xMode val="edge"/>
          <c:yMode val="edge"/>
          <c:x val="0.29641647143100402"/>
          <c:y val="0.50242952079373748"/>
          <c:w val="0.17705917688124037"/>
          <c:h val="0.28511284037029877"/>
        </c:manualLayout>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b-N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b-NO"/>
              <a:t>Conductivity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b-NO"/>
        </a:p>
      </c:txPr>
    </c:title>
    <c:autoTitleDeleted val="0"/>
    <c:plotArea>
      <c:layout>
        <c:manualLayout>
          <c:layoutTarget val="inner"/>
          <c:xMode val="edge"/>
          <c:yMode val="edge"/>
          <c:x val="0.18370566095345464"/>
          <c:y val="7.9723851312479069E-2"/>
          <c:w val="0.76100735730181379"/>
          <c:h val="0.87701949470056706"/>
        </c:manualLayout>
      </c:layout>
      <c:scatterChart>
        <c:scatterStyle val="smoothMarker"/>
        <c:varyColors val="0"/>
        <c:ser>
          <c:idx val="0"/>
          <c:order val="0"/>
          <c:tx>
            <c:strRef>
              <c:f>'Transport numbers Backup'!$W$29</c:f>
              <c:strCache>
                <c:ptCount val="1"/>
                <c:pt idx="0">
                  <c:v>h+</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Backup'!$W$31:$W$47</c:f>
              <c:numCache>
                <c:formatCode>General</c:formatCode>
                <c:ptCount val="17"/>
                <c:pt idx="0">
                  <c:v>0.18853570897628408</c:v>
                </c:pt>
                <c:pt idx="1">
                  <c:v>0.15121252005406807</c:v>
                </c:pt>
                <c:pt idx="2">
                  <c:v>0.11855003322279252</c:v>
                </c:pt>
                <c:pt idx="3">
                  <c:v>9.0490078908693372E-2</c:v>
                </c:pt>
                <c:pt idx="4">
                  <c:v>6.6900397284645835E-2</c:v>
                </c:pt>
                <c:pt idx="5">
                  <c:v>4.7572340183152359E-2</c:v>
                </c:pt>
                <c:pt idx="6">
                  <c:v>3.2222565831128043E-2</c:v>
                </c:pt>
                <c:pt idx="7">
                  <c:v>2.0499682157466829E-2</c:v>
                </c:pt>
                <c:pt idx="8">
                  <c:v>1.1995685059159324E-2</c:v>
                </c:pt>
                <c:pt idx="9">
                  <c:v>6.2579559306630917E-3</c:v>
                </c:pt>
                <c:pt idx="10">
                  <c:v>2.787764409208169E-3</c:v>
                </c:pt>
                <c:pt idx="11">
                  <c:v>1.0118163938732977E-3</c:v>
                </c:pt>
                <c:pt idx="12">
                  <c:v>2.8942161033443099E-4</c:v>
                </c:pt>
                <c:pt idx="13">
                  <c:v>6.3917913382532726E-5</c:v>
                </c:pt>
                <c:pt idx="14">
                  <c:v>1.0531128123584402E-5</c:v>
                </c:pt>
                <c:pt idx="15">
                  <c:v>1.2103519149725276E-6</c:v>
                </c:pt>
                <c:pt idx="16">
                  <c:v>8.7025836483965273E-8</c:v>
                </c:pt>
              </c:numCache>
            </c:numRef>
          </c:yVal>
          <c:smooth val="1"/>
          <c:extLst>
            <c:ext xmlns:c16="http://schemas.microsoft.com/office/drawing/2014/chart" uri="{C3380CC4-5D6E-409C-BE32-E72D297353CC}">
              <c16:uniqueId val="{00000000-25D5-426C-9467-185B848F31D6}"/>
            </c:ext>
          </c:extLst>
        </c:ser>
        <c:ser>
          <c:idx val="1"/>
          <c:order val="1"/>
          <c:tx>
            <c:strRef>
              <c:f>'Transport numbers Backup'!$X$29</c:f>
              <c:strCache>
                <c:ptCount val="1"/>
                <c:pt idx="0">
                  <c:v>O2-</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Backup'!$X$31:$X$47</c:f>
              <c:numCache>
                <c:formatCode>General</c:formatCode>
                <c:ptCount val="17"/>
                <c:pt idx="0">
                  <c:v>5.9810424619966586E-2</c:v>
                </c:pt>
                <c:pt idx="1">
                  <c:v>4.7311977951851741E-2</c:v>
                </c:pt>
                <c:pt idx="2">
                  <c:v>3.6457851415716183E-2</c:v>
                </c:pt>
                <c:pt idx="3">
                  <c:v>2.7221584294923395E-2</c:v>
                </c:pt>
                <c:pt idx="4">
                  <c:v>1.9551664008721228E-2</c:v>
                </c:pt>
                <c:pt idx="5">
                  <c:v>1.337110600570246E-2</c:v>
                </c:pt>
                <c:pt idx="6">
                  <c:v>8.5780843788258523E-3</c:v>
                </c:pt>
                <c:pt idx="7">
                  <c:v>5.047225234321143E-3</c:v>
                </c:pt>
                <c:pt idx="8">
                  <c:v>2.6299397269231735E-3</c:v>
                </c:pt>
                <c:pt idx="9">
                  <c:v>1.1500232257734486E-3</c:v>
                </c:pt>
                <c:pt idx="10">
                  <c:v>3.9151991798318995E-4</c:v>
                </c:pt>
                <c:pt idx="11">
                  <c:v>9.5842287627311056E-5</c:v>
                </c:pt>
                <c:pt idx="12">
                  <c:v>1.6077241500112851E-5</c:v>
                </c:pt>
                <c:pt idx="13">
                  <c:v>1.8162092259413617E-6</c:v>
                </c:pt>
                <c:pt idx="14">
                  <c:v>1.3319532583342744E-7</c:v>
                </c:pt>
                <c:pt idx="15">
                  <c:v>5.7964548752998878E-9</c:v>
                </c:pt>
                <c:pt idx="16">
                  <c:v>1.2831505723623145E-10</c:v>
                </c:pt>
              </c:numCache>
            </c:numRef>
          </c:yVal>
          <c:smooth val="1"/>
          <c:extLst>
            <c:ext xmlns:c16="http://schemas.microsoft.com/office/drawing/2014/chart" uri="{C3380CC4-5D6E-409C-BE32-E72D297353CC}">
              <c16:uniqueId val="{00000001-25D5-426C-9467-185B848F31D6}"/>
            </c:ext>
          </c:extLst>
        </c:ser>
        <c:ser>
          <c:idx val="2"/>
          <c:order val="2"/>
          <c:tx>
            <c:strRef>
              <c:f>'Transport numbers Backup'!$Y$29</c:f>
              <c:strCache>
                <c:ptCount val="1"/>
                <c:pt idx="0">
                  <c:v>H+</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Backup'!$Y$31:$Y$47</c:f>
              <c:numCache>
                <c:formatCode>General</c:formatCode>
                <c:ptCount val="17"/>
                <c:pt idx="0">
                  <c:v>7.3017088570741639E-3</c:v>
                </c:pt>
                <c:pt idx="1">
                  <c:v>7.8666250691360965E-3</c:v>
                </c:pt>
                <c:pt idx="2">
                  <c:v>8.4951616198108079E-3</c:v>
                </c:pt>
                <c:pt idx="3">
                  <c:v>9.1893986422415114E-3</c:v>
                </c:pt>
                <c:pt idx="4">
                  <c:v>9.9447167876430993E-3</c:v>
                </c:pt>
                <c:pt idx="5">
                  <c:v>1.0742465863254337E-2</c:v>
                </c:pt>
                <c:pt idx="6">
                  <c:v>1.1536360959948096E-2</c:v>
                </c:pt>
                <c:pt idx="7">
                  <c:v>1.2229013218511933E-2</c:v>
                </c:pt>
                <c:pt idx="8">
                  <c:v>1.2638386184746251E-2</c:v>
                </c:pt>
                <c:pt idx="9">
                  <c:v>1.2476041108373411E-2</c:v>
                </c:pt>
                <c:pt idx="10">
                  <c:v>1.1423851452172312E-2</c:v>
                </c:pt>
                <c:pt idx="11">
                  <c:v>9.4231468551719787E-3</c:v>
                </c:pt>
                <c:pt idx="12">
                  <c:v>6.9279093242084365E-3</c:v>
                </c:pt>
                <c:pt idx="13">
                  <c:v>4.5794246427197172E-3</c:v>
                </c:pt>
                <c:pt idx="14">
                  <c:v>2.7353415270921669E-3</c:v>
                </c:pt>
                <c:pt idx="15">
                  <c:v>1.4580352472333409E-3</c:v>
                </c:pt>
                <c:pt idx="16">
                  <c:v>6.724545783268782E-4</c:v>
                </c:pt>
              </c:numCache>
            </c:numRef>
          </c:yVal>
          <c:smooth val="1"/>
          <c:extLst>
            <c:ext xmlns:c16="http://schemas.microsoft.com/office/drawing/2014/chart" uri="{C3380CC4-5D6E-409C-BE32-E72D297353CC}">
              <c16:uniqueId val="{00000002-25D5-426C-9467-185B848F31D6}"/>
            </c:ext>
          </c:extLst>
        </c:ser>
        <c:ser>
          <c:idx val="7"/>
          <c:order val="3"/>
          <c:tx>
            <c:strRef>
              <c:f>'Transport numbers Backup'!$Z$29</c:f>
              <c:strCache>
                <c:ptCount val="1"/>
                <c:pt idx="0">
                  <c:v>Ion</c:v>
                </c:pt>
              </c:strCache>
            </c:strRef>
          </c:tx>
          <c:spPr>
            <a:ln w="19050"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Backup'!$Z$31:$Z$47</c:f>
              <c:numCache>
                <c:formatCode>General</c:formatCode>
                <c:ptCount val="17"/>
                <c:pt idx="0">
                  <c:v>6.7112133477040745E-2</c:v>
                </c:pt>
                <c:pt idx="1">
                  <c:v>5.5178603020987836E-2</c:v>
                </c:pt>
                <c:pt idx="2">
                  <c:v>4.4953013035526991E-2</c:v>
                </c:pt>
                <c:pt idx="3">
                  <c:v>3.641098293716491E-2</c:v>
                </c:pt>
                <c:pt idx="4">
                  <c:v>2.9496380796364328E-2</c:v>
                </c:pt>
                <c:pt idx="5">
                  <c:v>2.4113571868956796E-2</c:v>
                </c:pt>
                <c:pt idx="6">
                  <c:v>2.0114445338773948E-2</c:v>
                </c:pt>
                <c:pt idx="7">
                  <c:v>1.7276238452833076E-2</c:v>
                </c:pt>
                <c:pt idx="8">
                  <c:v>1.5268325911669425E-2</c:v>
                </c:pt>
                <c:pt idx="9">
                  <c:v>1.362606433414686E-2</c:v>
                </c:pt>
                <c:pt idx="10">
                  <c:v>1.1815371370155502E-2</c:v>
                </c:pt>
                <c:pt idx="11">
                  <c:v>9.51898914279929E-3</c:v>
                </c:pt>
                <c:pt idx="12">
                  <c:v>6.9439865657085495E-3</c:v>
                </c:pt>
                <c:pt idx="13">
                  <c:v>4.5812408519456584E-3</c:v>
                </c:pt>
                <c:pt idx="14">
                  <c:v>2.7354747224180003E-3</c:v>
                </c:pt>
                <c:pt idx="15">
                  <c:v>1.4580410436882162E-3</c:v>
                </c:pt>
                <c:pt idx="16">
                  <c:v>6.7245470664193546E-4</c:v>
                </c:pt>
              </c:numCache>
            </c:numRef>
          </c:yVal>
          <c:smooth val="1"/>
          <c:extLst>
            <c:ext xmlns:c16="http://schemas.microsoft.com/office/drawing/2014/chart" uri="{C3380CC4-5D6E-409C-BE32-E72D297353CC}">
              <c16:uniqueId val="{00000003-25D5-426C-9467-185B848F31D6}"/>
            </c:ext>
          </c:extLst>
        </c:ser>
        <c:ser>
          <c:idx val="3"/>
          <c:order val="4"/>
          <c:tx>
            <c:strRef>
              <c:f>'Transport numbers Backup'!$F$29</c:f>
              <c:strCache>
                <c:ptCount val="1"/>
                <c:pt idx="0">
                  <c:v>h+ meas</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Backup'!$F$31:$F$47</c:f>
              <c:numCache>
                <c:formatCode>General</c:formatCode>
                <c:ptCount val="17"/>
                <c:pt idx="6">
                  <c:v>3.3180000000000001E-2</c:v>
                </c:pt>
                <c:pt idx="7">
                  <c:v>2.0580000000000001E-2</c:v>
                </c:pt>
                <c:pt idx="8">
                  <c:v>1.179E-2</c:v>
                </c:pt>
                <c:pt idx="9">
                  <c:v>5.7499999999999999E-3</c:v>
                </c:pt>
                <c:pt idx="10">
                  <c:v>3.0500000000000002E-3</c:v>
                </c:pt>
                <c:pt idx="11">
                  <c:v>1.32E-3</c:v>
                </c:pt>
                <c:pt idx="12">
                  <c:v>5.4099499999999995E-4</c:v>
                </c:pt>
              </c:numCache>
            </c:numRef>
          </c:yVal>
          <c:smooth val="1"/>
          <c:extLst>
            <c:ext xmlns:c16="http://schemas.microsoft.com/office/drawing/2014/chart" uri="{C3380CC4-5D6E-409C-BE32-E72D297353CC}">
              <c16:uniqueId val="{00000004-25D5-426C-9467-185B848F31D6}"/>
            </c:ext>
          </c:extLst>
        </c:ser>
        <c:ser>
          <c:idx val="4"/>
          <c:order val="5"/>
          <c:tx>
            <c:strRef>
              <c:f>'Transport numbers Backup'!$I$29</c:f>
              <c:strCache>
                <c:ptCount val="1"/>
                <c:pt idx="0">
                  <c:v>Ion meas</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Backup'!$I$31:$I$47</c:f>
              <c:numCache>
                <c:formatCode>General</c:formatCode>
                <c:ptCount val="17"/>
                <c:pt idx="6">
                  <c:v>2.009E-2</c:v>
                </c:pt>
                <c:pt idx="7">
                  <c:v>1.755E-2</c:v>
                </c:pt>
                <c:pt idx="8">
                  <c:v>1.555E-2</c:v>
                </c:pt>
                <c:pt idx="9">
                  <c:v>1.4370000000000001E-2</c:v>
                </c:pt>
                <c:pt idx="10">
                  <c:v>1.209E-2</c:v>
                </c:pt>
                <c:pt idx="11">
                  <c:v>9.1500000000000001E-3</c:v>
                </c:pt>
                <c:pt idx="12">
                  <c:v>6.8999999999999999E-3</c:v>
                </c:pt>
              </c:numCache>
            </c:numRef>
          </c:yVal>
          <c:smooth val="1"/>
          <c:extLst>
            <c:ext xmlns:c16="http://schemas.microsoft.com/office/drawing/2014/chart" uri="{C3380CC4-5D6E-409C-BE32-E72D297353CC}">
              <c16:uniqueId val="{00000005-25D5-426C-9467-185B848F31D6}"/>
            </c:ext>
          </c:extLst>
        </c:ser>
        <c:dLbls>
          <c:showLegendKey val="0"/>
          <c:showVal val="0"/>
          <c:showCatName val="0"/>
          <c:showSerName val="0"/>
          <c:showPercent val="0"/>
          <c:showBubbleSize val="0"/>
        </c:dLbls>
        <c:axId val="336897600"/>
        <c:axId val="2036315456"/>
      </c:scatterChart>
      <c:valAx>
        <c:axId val="336897600"/>
        <c:scaling>
          <c:orientation val="minMax"/>
          <c:min val="5.0000000000000012E-4"/>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1/T (1/K)</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2036315456"/>
        <c:crossesAt val="1.0000000000000004E-6"/>
        <c:crossBetween val="midCat"/>
      </c:valAx>
      <c:valAx>
        <c:axId val="203631545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Conductivity (S/cm)</a:t>
                </a:r>
              </a:p>
              <a:p>
                <a:pPr>
                  <a:defRPr/>
                </a:pPr>
                <a:endParaRPr lang="nb-NO"/>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336897600"/>
        <c:crossesAt val="0"/>
        <c:crossBetween val="midCat"/>
      </c:valAx>
      <c:spPr>
        <a:noFill/>
        <a:ln>
          <a:noFill/>
        </a:ln>
        <a:effectLst/>
      </c:spPr>
    </c:plotArea>
    <c:legend>
      <c:legendPos val="r"/>
      <c:layout>
        <c:manualLayout>
          <c:xMode val="edge"/>
          <c:yMode val="edge"/>
          <c:x val="0.20979994950295644"/>
          <c:y val="0.54988717494493822"/>
          <c:w val="0.20977552302606467"/>
          <c:h val="0.36093764517553678"/>
        </c:manualLayout>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b-N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Transport</a:t>
            </a:r>
            <a:r>
              <a:rPr lang="en-US" baseline="0"/>
              <a:t> numbers linear scale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b-NO"/>
        </a:p>
      </c:txPr>
    </c:title>
    <c:autoTitleDeleted val="0"/>
    <c:plotArea>
      <c:layout>
        <c:manualLayout>
          <c:layoutTarget val="inner"/>
          <c:xMode val="edge"/>
          <c:yMode val="edge"/>
          <c:x val="0.14954822136594628"/>
          <c:y val="0.10444208627414808"/>
          <c:w val="0.79091646602026"/>
          <c:h val="0.79908519331486172"/>
        </c:manualLayout>
      </c:layout>
      <c:scatterChart>
        <c:scatterStyle val="smoothMarker"/>
        <c:varyColors val="0"/>
        <c:ser>
          <c:idx val="0"/>
          <c:order val="0"/>
          <c:tx>
            <c:strRef>
              <c:f>'Transport numbers Backup'!$AB$29</c:f>
              <c:strCache>
                <c:ptCount val="1"/>
                <c:pt idx="0">
                  <c:v>h+</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Backup'!$AB$31:$AB$47</c:f>
              <c:numCache>
                <c:formatCode>General</c:formatCode>
                <c:ptCount val="17"/>
                <c:pt idx="0">
                  <c:v>0.73748210494170774</c:v>
                </c:pt>
                <c:pt idx="1">
                  <c:v>0.73265030879781745</c:v>
                </c:pt>
                <c:pt idx="2">
                  <c:v>0.72506314674709216</c:v>
                </c:pt>
                <c:pt idx="3">
                  <c:v>0.71307582137183456</c:v>
                </c:pt>
                <c:pt idx="4">
                  <c:v>0.69401071920084212</c:v>
                </c:pt>
                <c:pt idx="5">
                  <c:v>0.6636218863836395</c:v>
                </c:pt>
                <c:pt idx="6">
                  <c:v>0.61567455058760823</c:v>
                </c:pt>
                <c:pt idx="7">
                  <c:v>0.54266532294324621</c:v>
                </c:pt>
                <c:pt idx="8">
                  <c:v>0.43998240288247248</c:v>
                </c:pt>
                <c:pt idx="9">
                  <c:v>0.31472287029088403</c:v>
                </c:pt>
                <c:pt idx="10">
                  <c:v>0.19090176598560979</c:v>
                </c:pt>
                <c:pt idx="11">
                  <c:v>9.6081576129170523E-2</c:v>
                </c:pt>
                <c:pt idx="12">
                  <c:v>4.0011790194972571E-2</c:v>
                </c:pt>
                <c:pt idx="13">
                  <c:v>1.3760113832840495E-2</c:v>
                </c:pt>
                <c:pt idx="14">
                  <c:v>3.835071262323562E-3</c:v>
                </c:pt>
                <c:pt idx="15">
                  <c:v>8.2943344691626818E-4</c:v>
                </c:pt>
                <c:pt idx="16">
                  <c:v>1.2939841838998113E-4</c:v>
                </c:pt>
              </c:numCache>
            </c:numRef>
          </c:yVal>
          <c:smooth val="1"/>
          <c:extLst>
            <c:ext xmlns:c16="http://schemas.microsoft.com/office/drawing/2014/chart" uri="{C3380CC4-5D6E-409C-BE32-E72D297353CC}">
              <c16:uniqueId val="{00000000-56AD-4A09-A2F5-7F4F388B918E}"/>
            </c:ext>
          </c:extLst>
        </c:ser>
        <c:ser>
          <c:idx val="1"/>
          <c:order val="1"/>
          <c:tx>
            <c:strRef>
              <c:f>'Transport numbers Backup'!$AC$29</c:f>
              <c:strCache>
                <c:ptCount val="1"/>
                <c:pt idx="0">
                  <c:v>O2-</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Backup'!$AC$31:$AC$47</c:f>
              <c:numCache>
                <c:formatCode>General</c:formatCode>
                <c:ptCount val="17"/>
                <c:pt idx="0">
                  <c:v>0.23395630507183543</c:v>
                </c:pt>
                <c:pt idx="1">
                  <c:v>0.22923455838091608</c:v>
                </c:pt>
                <c:pt idx="2">
                  <c:v>0.22297964625145997</c:v>
                </c:pt>
                <c:pt idx="3">
                  <c:v>0.21451029565054688</c:v>
                </c:pt>
                <c:pt idx="4">
                  <c:v>0.20282487026994153</c:v>
                </c:pt>
                <c:pt idx="5">
                  <c:v>0.1865234831075718</c:v>
                </c:pt>
                <c:pt idx="6">
                  <c:v>0.1639009218730271</c:v>
                </c:pt>
                <c:pt idx="7">
                  <c:v>0.13360958919807178</c:v>
                </c:pt>
                <c:pt idx="8">
                  <c:v>9.6461952342121973E-2</c:v>
                </c:pt>
                <c:pt idx="9">
                  <c:v>5.7836554703613929E-2</c:v>
                </c:pt>
                <c:pt idx="10">
                  <c:v>2.681067435779539E-2</c:v>
                </c:pt>
                <c:pt idx="11">
                  <c:v>9.1011354538405326E-3</c:v>
                </c:pt>
                <c:pt idx="12">
                  <c:v>2.2226371177781188E-3</c:v>
                </c:pt>
                <c:pt idx="13">
                  <c:v>3.9098969867245047E-4</c:v>
                </c:pt>
                <c:pt idx="14">
                  <c:v>4.8505113638835765E-5</c:v>
                </c:pt>
                <c:pt idx="15">
                  <c:v>3.9722112946165082E-6</c:v>
                </c:pt>
                <c:pt idx="16">
                  <c:v>1.907912193989372E-7</c:v>
                </c:pt>
              </c:numCache>
            </c:numRef>
          </c:yVal>
          <c:smooth val="1"/>
          <c:extLst>
            <c:ext xmlns:c16="http://schemas.microsoft.com/office/drawing/2014/chart" uri="{C3380CC4-5D6E-409C-BE32-E72D297353CC}">
              <c16:uniqueId val="{00000001-56AD-4A09-A2F5-7F4F388B918E}"/>
            </c:ext>
          </c:extLst>
        </c:ser>
        <c:ser>
          <c:idx val="2"/>
          <c:order val="2"/>
          <c:tx>
            <c:strRef>
              <c:f>'Transport numbers Backup'!$AD$29</c:f>
              <c:strCache>
                <c:ptCount val="1"/>
                <c:pt idx="0">
                  <c:v>H+</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Backup'!$AD$31:$AD$47</c:f>
              <c:numCache>
                <c:formatCode>General</c:formatCode>
                <c:ptCount val="17"/>
                <c:pt idx="0">
                  <c:v>2.8561589986456783E-2</c:v>
                </c:pt>
                <c:pt idx="1">
                  <c:v>3.8115132821266398E-2</c:v>
                </c:pt>
                <c:pt idx="2">
                  <c:v>5.1957207001447833E-2</c:v>
                </c:pt>
                <c:pt idx="3">
                  <c:v>7.2413882977618513E-2</c:v>
                </c:pt>
                <c:pt idx="4">
                  <c:v>0.10316441052921638</c:v>
                </c:pt>
                <c:pt idx="5">
                  <c:v>0.14985463050878867</c:v>
                </c:pt>
                <c:pt idx="6">
                  <c:v>0.22042452753936462</c:v>
                </c:pt>
                <c:pt idx="7">
                  <c:v>0.32372508785868198</c:v>
                </c:pt>
                <c:pt idx="8">
                  <c:v>0.46355564477540556</c:v>
                </c:pt>
                <c:pt idx="9">
                  <c:v>0.6274405750055021</c:v>
                </c:pt>
                <c:pt idx="10">
                  <c:v>0.78228755965659491</c:v>
                </c:pt>
                <c:pt idx="11">
                  <c:v>0.89481728841698893</c:v>
                </c:pt>
                <c:pt idx="12">
                  <c:v>0.95776557268724927</c:v>
                </c:pt>
                <c:pt idx="13">
                  <c:v>0.98584889646848706</c:v>
                </c:pt>
                <c:pt idx="14">
                  <c:v>0.99611642362403752</c:v>
                </c:pt>
                <c:pt idx="15">
                  <c:v>0.99916659434178923</c:v>
                </c:pt>
                <c:pt idx="16">
                  <c:v>0.99987041079039063</c:v>
                </c:pt>
              </c:numCache>
            </c:numRef>
          </c:yVal>
          <c:smooth val="1"/>
          <c:extLst>
            <c:ext xmlns:c16="http://schemas.microsoft.com/office/drawing/2014/chart" uri="{C3380CC4-5D6E-409C-BE32-E72D297353CC}">
              <c16:uniqueId val="{00000002-56AD-4A09-A2F5-7F4F388B918E}"/>
            </c:ext>
          </c:extLst>
        </c:ser>
        <c:ser>
          <c:idx val="3"/>
          <c:order val="3"/>
          <c:tx>
            <c:strRef>
              <c:f>'Transport numbers Backup'!$AE$29</c:f>
              <c:strCache>
                <c:ptCount val="1"/>
                <c:pt idx="0">
                  <c:v>ion</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Backup'!$AE$31:$AE$47</c:f>
              <c:numCache>
                <c:formatCode>General</c:formatCode>
                <c:ptCount val="17"/>
                <c:pt idx="0">
                  <c:v>0.26251789505829221</c:v>
                </c:pt>
                <c:pt idx="1">
                  <c:v>0.26734969120218249</c:v>
                </c:pt>
                <c:pt idx="2">
                  <c:v>0.27493685325290779</c:v>
                </c:pt>
                <c:pt idx="3">
                  <c:v>0.28692417862816538</c:v>
                </c:pt>
                <c:pt idx="4">
                  <c:v>0.30598928079915788</c:v>
                </c:pt>
                <c:pt idx="5">
                  <c:v>0.3363781136163605</c:v>
                </c:pt>
                <c:pt idx="6">
                  <c:v>0.38432544941239172</c:v>
                </c:pt>
                <c:pt idx="7">
                  <c:v>0.45733467705675379</c:v>
                </c:pt>
                <c:pt idx="8">
                  <c:v>0.56001759711752752</c:v>
                </c:pt>
                <c:pt idx="9">
                  <c:v>0.68527712970911603</c:v>
                </c:pt>
                <c:pt idx="10">
                  <c:v>0.80909823401439029</c:v>
                </c:pt>
                <c:pt idx="11">
                  <c:v>0.90391842387082943</c:v>
                </c:pt>
                <c:pt idx="12">
                  <c:v>0.95998820980502741</c:v>
                </c:pt>
                <c:pt idx="13">
                  <c:v>0.98623988616715952</c:v>
                </c:pt>
                <c:pt idx="14">
                  <c:v>0.99616492873767637</c:v>
                </c:pt>
                <c:pt idx="15">
                  <c:v>0.99917056655308389</c:v>
                </c:pt>
                <c:pt idx="16">
                  <c:v>0.99987060158161001</c:v>
                </c:pt>
              </c:numCache>
            </c:numRef>
          </c:yVal>
          <c:smooth val="1"/>
          <c:extLst>
            <c:ext xmlns:c16="http://schemas.microsoft.com/office/drawing/2014/chart" uri="{C3380CC4-5D6E-409C-BE32-E72D297353CC}">
              <c16:uniqueId val="{00000003-56AD-4A09-A2F5-7F4F388B918E}"/>
            </c:ext>
          </c:extLst>
        </c:ser>
        <c:ser>
          <c:idx val="4"/>
          <c:order val="4"/>
          <c:tx>
            <c:strRef>
              <c:f>'Transport numbers Backup'!$K$29</c:f>
              <c:strCache>
                <c:ptCount val="1"/>
                <c:pt idx="0">
                  <c:v>h+ meas</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xVal>
            <c:numRef>
              <c:f>'Transport numbers Backup'!$E$37:$E$43</c:f>
              <c:numCache>
                <c:formatCode>General</c:formatCode>
                <c:ptCount val="7"/>
                <c:pt idx="0">
                  <c:v>1.0275908133381287E-3</c:v>
                </c:pt>
                <c:pt idx="1">
                  <c:v>1.0832475762335481E-3</c:v>
                </c:pt>
                <c:pt idx="2">
                  <c:v>1.1452785890167783E-3</c:v>
                </c:pt>
                <c:pt idx="3">
                  <c:v>1.2148454109214603E-3</c:v>
                </c:pt>
                <c:pt idx="4">
                  <c:v>1.2934100756644895E-3</c:v>
                </c:pt>
                <c:pt idx="5">
                  <c:v>1.3828389684021297E-3</c:v>
                </c:pt>
                <c:pt idx="6">
                  <c:v>1.4855529971031717E-3</c:v>
                </c:pt>
              </c:numCache>
            </c:numRef>
          </c:xVal>
          <c:yVal>
            <c:numRef>
              <c:f>'Transport numbers Backup'!$K$37:$K$43</c:f>
              <c:numCache>
                <c:formatCode>General</c:formatCode>
                <c:ptCount val="7"/>
                <c:pt idx="0">
                  <c:v>0.62286465177398165</c:v>
                </c:pt>
                <c:pt idx="1">
                  <c:v>0.5397324940991346</c:v>
                </c:pt>
                <c:pt idx="2">
                  <c:v>0.43123628383321144</c:v>
                </c:pt>
                <c:pt idx="3">
                  <c:v>0.28578528827037775</c:v>
                </c:pt>
                <c:pt idx="4">
                  <c:v>0.20145310435931307</c:v>
                </c:pt>
                <c:pt idx="5">
                  <c:v>0.12607449856733524</c:v>
                </c:pt>
                <c:pt idx="6">
                  <c:v>7.2704658449575618E-2</c:v>
                </c:pt>
              </c:numCache>
            </c:numRef>
          </c:yVal>
          <c:smooth val="1"/>
          <c:extLst>
            <c:ext xmlns:c16="http://schemas.microsoft.com/office/drawing/2014/chart" uri="{C3380CC4-5D6E-409C-BE32-E72D297353CC}">
              <c16:uniqueId val="{00000004-56AD-4A09-A2F5-7F4F388B918E}"/>
            </c:ext>
          </c:extLst>
        </c:ser>
        <c:ser>
          <c:idx val="5"/>
          <c:order val="5"/>
          <c:tx>
            <c:strRef>
              <c:f>'Transport numbers Backup'!$L$29</c:f>
              <c:strCache>
                <c:ptCount val="1"/>
                <c:pt idx="0">
                  <c:v>ion meas</c:v>
                </c:pt>
              </c:strCache>
            </c:strRef>
          </c:tx>
          <c:spPr>
            <a:ln w="19050" cap="rnd">
              <a:solidFill>
                <a:schemeClr val="accent6"/>
              </a:solidFill>
              <a:round/>
            </a:ln>
            <a:effectLst/>
          </c:spPr>
          <c:marker>
            <c:symbol val="circle"/>
            <c:size val="5"/>
            <c:spPr>
              <a:solidFill>
                <a:schemeClr val="accent6"/>
              </a:solidFill>
              <a:ln w="9525">
                <a:solidFill>
                  <a:schemeClr val="accent6"/>
                </a:solidFill>
              </a:ln>
              <a:effectLst/>
            </c:spPr>
          </c:marker>
          <c:xVal>
            <c:numRef>
              <c:f>'Transport numbers Backup'!$E$37:$E$43</c:f>
              <c:numCache>
                <c:formatCode>General</c:formatCode>
                <c:ptCount val="7"/>
                <c:pt idx="0">
                  <c:v>1.0275908133381287E-3</c:v>
                </c:pt>
                <c:pt idx="1">
                  <c:v>1.0832475762335481E-3</c:v>
                </c:pt>
                <c:pt idx="2">
                  <c:v>1.1452785890167783E-3</c:v>
                </c:pt>
                <c:pt idx="3">
                  <c:v>1.2148454109214603E-3</c:v>
                </c:pt>
                <c:pt idx="4">
                  <c:v>1.2934100756644895E-3</c:v>
                </c:pt>
                <c:pt idx="5">
                  <c:v>1.3828389684021297E-3</c:v>
                </c:pt>
                <c:pt idx="6">
                  <c:v>1.4855529971031717E-3</c:v>
                </c:pt>
              </c:numCache>
            </c:numRef>
          </c:xVal>
          <c:yVal>
            <c:numRef>
              <c:f>'Transport numbers Backup'!$L$37:$L$43</c:f>
              <c:numCache>
                <c:formatCode>General</c:formatCode>
                <c:ptCount val="7"/>
                <c:pt idx="0">
                  <c:v>0.37713534822601841</c:v>
                </c:pt>
                <c:pt idx="1">
                  <c:v>0.46026750590086546</c:v>
                </c:pt>
                <c:pt idx="2">
                  <c:v>0.56876371616678856</c:v>
                </c:pt>
                <c:pt idx="3">
                  <c:v>0.71421471172962236</c:v>
                </c:pt>
                <c:pt idx="4">
                  <c:v>0.79854689564068693</c:v>
                </c:pt>
                <c:pt idx="5">
                  <c:v>0.87392550143266479</c:v>
                </c:pt>
                <c:pt idx="6">
                  <c:v>0.92729534155042437</c:v>
                </c:pt>
              </c:numCache>
            </c:numRef>
          </c:yVal>
          <c:smooth val="1"/>
          <c:extLst>
            <c:ext xmlns:c16="http://schemas.microsoft.com/office/drawing/2014/chart" uri="{C3380CC4-5D6E-409C-BE32-E72D297353CC}">
              <c16:uniqueId val="{00000005-56AD-4A09-A2F5-7F4F388B918E}"/>
            </c:ext>
          </c:extLst>
        </c:ser>
        <c:dLbls>
          <c:showLegendKey val="0"/>
          <c:showVal val="0"/>
          <c:showCatName val="0"/>
          <c:showSerName val="0"/>
          <c:showPercent val="0"/>
          <c:showBubbleSize val="0"/>
        </c:dLbls>
        <c:axId val="336897600"/>
        <c:axId val="2036315456"/>
      </c:scatterChart>
      <c:valAx>
        <c:axId val="336897600"/>
        <c:scaling>
          <c:orientation val="minMax"/>
          <c:min val="5.0000000000000012E-4"/>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1/T (1/K)</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2036315456"/>
        <c:crossesAt val="1.0000000000000004E-6"/>
        <c:crossBetween val="midCat"/>
      </c:valAx>
      <c:valAx>
        <c:axId val="2036315456"/>
        <c:scaling>
          <c:orientation val="minMax"/>
          <c:max val="1"/>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Transport number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336897600"/>
        <c:crossesAt val="0"/>
        <c:crossBetween val="midCat"/>
      </c:valAx>
      <c:spPr>
        <a:noFill/>
        <a:ln>
          <a:noFill/>
        </a:ln>
        <a:effectLst/>
      </c:spPr>
    </c:plotArea>
    <c:legend>
      <c:legendPos val="r"/>
      <c:layout>
        <c:manualLayout>
          <c:xMode val="edge"/>
          <c:yMode val="edge"/>
          <c:x val="0.64919422572178476"/>
          <c:y val="0.39505748003143182"/>
          <c:w val="0.17633203447105048"/>
          <c:h val="0.28511284037029877"/>
        </c:manualLayout>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b-N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Transport</a:t>
            </a:r>
            <a:r>
              <a:rPr lang="en-US" baseline="0"/>
              <a:t> numbers log scale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b-NO"/>
        </a:p>
      </c:txPr>
    </c:title>
    <c:autoTitleDeleted val="0"/>
    <c:plotArea>
      <c:layout>
        <c:manualLayout>
          <c:layoutTarget val="inner"/>
          <c:xMode val="edge"/>
          <c:yMode val="edge"/>
          <c:x val="0.20778937007874015"/>
          <c:y val="0.10444208627414808"/>
          <c:w val="0.71614276035152225"/>
          <c:h val="0.84582244277755803"/>
        </c:manualLayout>
      </c:layout>
      <c:scatterChart>
        <c:scatterStyle val="smoothMarker"/>
        <c:varyColors val="0"/>
        <c:ser>
          <c:idx val="0"/>
          <c:order val="0"/>
          <c:tx>
            <c:strRef>
              <c:f>'Transport numbers Backup'!$AB$29</c:f>
              <c:strCache>
                <c:ptCount val="1"/>
                <c:pt idx="0">
                  <c:v>h+</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Backup'!$AB$31:$AB$47</c:f>
              <c:numCache>
                <c:formatCode>General</c:formatCode>
                <c:ptCount val="17"/>
                <c:pt idx="0">
                  <c:v>0.73748210494170774</c:v>
                </c:pt>
                <c:pt idx="1">
                  <c:v>0.73265030879781745</c:v>
                </c:pt>
                <c:pt idx="2">
                  <c:v>0.72506314674709216</c:v>
                </c:pt>
                <c:pt idx="3">
                  <c:v>0.71307582137183456</c:v>
                </c:pt>
                <c:pt idx="4">
                  <c:v>0.69401071920084212</c:v>
                </c:pt>
                <c:pt idx="5">
                  <c:v>0.6636218863836395</c:v>
                </c:pt>
                <c:pt idx="6">
                  <c:v>0.61567455058760823</c:v>
                </c:pt>
                <c:pt idx="7">
                  <c:v>0.54266532294324621</c:v>
                </c:pt>
                <c:pt idx="8">
                  <c:v>0.43998240288247248</c:v>
                </c:pt>
                <c:pt idx="9">
                  <c:v>0.31472287029088403</c:v>
                </c:pt>
                <c:pt idx="10">
                  <c:v>0.19090176598560979</c:v>
                </c:pt>
                <c:pt idx="11">
                  <c:v>9.6081576129170523E-2</c:v>
                </c:pt>
                <c:pt idx="12">
                  <c:v>4.0011790194972571E-2</c:v>
                </c:pt>
                <c:pt idx="13">
                  <c:v>1.3760113832840495E-2</c:v>
                </c:pt>
                <c:pt idx="14">
                  <c:v>3.835071262323562E-3</c:v>
                </c:pt>
                <c:pt idx="15">
                  <c:v>8.2943344691626818E-4</c:v>
                </c:pt>
                <c:pt idx="16">
                  <c:v>1.2939841838998113E-4</c:v>
                </c:pt>
              </c:numCache>
            </c:numRef>
          </c:yVal>
          <c:smooth val="1"/>
          <c:extLst>
            <c:ext xmlns:c16="http://schemas.microsoft.com/office/drawing/2014/chart" uri="{C3380CC4-5D6E-409C-BE32-E72D297353CC}">
              <c16:uniqueId val="{00000000-4C07-4B1E-A21C-2D6C3AA8A67F}"/>
            </c:ext>
          </c:extLst>
        </c:ser>
        <c:ser>
          <c:idx val="1"/>
          <c:order val="1"/>
          <c:tx>
            <c:strRef>
              <c:f>'Transport numbers Backup'!$AC$29</c:f>
              <c:strCache>
                <c:ptCount val="1"/>
                <c:pt idx="0">
                  <c:v>O2-</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Backup'!$AC$31:$AC$47</c:f>
              <c:numCache>
                <c:formatCode>General</c:formatCode>
                <c:ptCount val="17"/>
                <c:pt idx="0">
                  <c:v>0.23395630507183543</c:v>
                </c:pt>
                <c:pt idx="1">
                  <c:v>0.22923455838091608</c:v>
                </c:pt>
                <c:pt idx="2">
                  <c:v>0.22297964625145997</c:v>
                </c:pt>
                <c:pt idx="3">
                  <c:v>0.21451029565054688</c:v>
                </c:pt>
                <c:pt idx="4">
                  <c:v>0.20282487026994153</c:v>
                </c:pt>
                <c:pt idx="5">
                  <c:v>0.1865234831075718</c:v>
                </c:pt>
                <c:pt idx="6">
                  <c:v>0.1639009218730271</c:v>
                </c:pt>
                <c:pt idx="7">
                  <c:v>0.13360958919807178</c:v>
                </c:pt>
                <c:pt idx="8">
                  <c:v>9.6461952342121973E-2</c:v>
                </c:pt>
                <c:pt idx="9">
                  <c:v>5.7836554703613929E-2</c:v>
                </c:pt>
                <c:pt idx="10">
                  <c:v>2.681067435779539E-2</c:v>
                </c:pt>
                <c:pt idx="11">
                  <c:v>9.1011354538405326E-3</c:v>
                </c:pt>
                <c:pt idx="12">
                  <c:v>2.2226371177781188E-3</c:v>
                </c:pt>
                <c:pt idx="13">
                  <c:v>3.9098969867245047E-4</c:v>
                </c:pt>
                <c:pt idx="14">
                  <c:v>4.8505113638835765E-5</c:v>
                </c:pt>
                <c:pt idx="15">
                  <c:v>3.9722112946165082E-6</c:v>
                </c:pt>
                <c:pt idx="16">
                  <c:v>1.907912193989372E-7</c:v>
                </c:pt>
              </c:numCache>
            </c:numRef>
          </c:yVal>
          <c:smooth val="1"/>
          <c:extLst>
            <c:ext xmlns:c16="http://schemas.microsoft.com/office/drawing/2014/chart" uri="{C3380CC4-5D6E-409C-BE32-E72D297353CC}">
              <c16:uniqueId val="{00000001-4C07-4B1E-A21C-2D6C3AA8A67F}"/>
            </c:ext>
          </c:extLst>
        </c:ser>
        <c:ser>
          <c:idx val="2"/>
          <c:order val="2"/>
          <c:tx>
            <c:strRef>
              <c:f>'Transport numbers Backup'!$AD$29</c:f>
              <c:strCache>
                <c:ptCount val="1"/>
                <c:pt idx="0">
                  <c:v>H+</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Backup'!$AD$31:$AD$47</c:f>
              <c:numCache>
                <c:formatCode>General</c:formatCode>
                <c:ptCount val="17"/>
                <c:pt idx="0">
                  <c:v>2.8561589986456783E-2</c:v>
                </c:pt>
                <c:pt idx="1">
                  <c:v>3.8115132821266398E-2</c:v>
                </c:pt>
                <c:pt idx="2">
                  <c:v>5.1957207001447833E-2</c:v>
                </c:pt>
                <c:pt idx="3">
                  <c:v>7.2413882977618513E-2</c:v>
                </c:pt>
                <c:pt idx="4">
                  <c:v>0.10316441052921638</c:v>
                </c:pt>
                <c:pt idx="5">
                  <c:v>0.14985463050878867</c:v>
                </c:pt>
                <c:pt idx="6">
                  <c:v>0.22042452753936462</c:v>
                </c:pt>
                <c:pt idx="7">
                  <c:v>0.32372508785868198</c:v>
                </c:pt>
                <c:pt idx="8">
                  <c:v>0.46355564477540556</c:v>
                </c:pt>
                <c:pt idx="9">
                  <c:v>0.6274405750055021</c:v>
                </c:pt>
                <c:pt idx="10">
                  <c:v>0.78228755965659491</c:v>
                </c:pt>
                <c:pt idx="11">
                  <c:v>0.89481728841698893</c:v>
                </c:pt>
                <c:pt idx="12">
                  <c:v>0.95776557268724927</c:v>
                </c:pt>
                <c:pt idx="13">
                  <c:v>0.98584889646848706</c:v>
                </c:pt>
                <c:pt idx="14">
                  <c:v>0.99611642362403752</c:v>
                </c:pt>
                <c:pt idx="15">
                  <c:v>0.99916659434178923</c:v>
                </c:pt>
                <c:pt idx="16">
                  <c:v>0.99987041079039063</c:v>
                </c:pt>
              </c:numCache>
            </c:numRef>
          </c:yVal>
          <c:smooth val="1"/>
          <c:extLst>
            <c:ext xmlns:c16="http://schemas.microsoft.com/office/drawing/2014/chart" uri="{C3380CC4-5D6E-409C-BE32-E72D297353CC}">
              <c16:uniqueId val="{00000002-4C07-4B1E-A21C-2D6C3AA8A67F}"/>
            </c:ext>
          </c:extLst>
        </c:ser>
        <c:ser>
          <c:idx val="3"/>
          <c:order val="3"/>
          <c:tx>
            <c:strRef>
              <c:f>'Transport numbers Backup'!$AE$29</c:f>
              <c:strCache>
                <c:ptCount val="1"/>
                <c:pt idx="0">
                  <c:v>ion</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xVal>
            <c:numRef>
              <c:f>'Transport numbers Backup'!$E$31:$E$47</c:f>
              <c:numCache>
                <c:formatCode>General</c:formatCode>
                <c:ptCount val="17"/>
                <c:pt idx="0">
                  <c:v>7.8545340297686832E-4</c:v>
                </c:pt>
                <c:pt idx="1">
                  <c:v>8.1756121489596524E-4</c:v>
                </c:pt>
                <c:pt idx="2">
                  <c:v>8.5240591569705484E-4</c:v>
                </c:pt>
                <c:pt idx="3">
                  <c:v>8.903530249744023E-4</c:v>
                </c:pt>
                <c:pt idx="4">
                  <c:v>9.3183618319899353E-4</c:v>
                </c:pt>
                <c:pt idx="5">
                  <c:v>9.7737379660851301E-4</c:v>
                </c:pt>
                <c:pt idx="6">
                  <c:v>1.0275908133381287E-3</c:v>
                </c:pt>
                <c:pt idx="7">
                  <c:v>1.0832475762335481E-3</c:v>
                </c:pt>
                <c:pt idx="8">
                  <c:v>1.1452785890167783E-3</c:v>
                </c:pt>
                <c:pt idx="9">
                  <c:v>1.2148454109214603E-3</c:v>
                </c:pt>
                <c:pt idx="10">
                  <c:v>1.2934100756644895E-3</c:v>
                </c:pt>
                <c:pt idx="11">
                  <c:v>1.3828389684021297E-3</c:v>
                </c:pt>
                <c:pt idx="12">
                  <c:v>1.4855529971031717E-3</c:v>
                </c:pt>
                <c:pt idx="13">
                  <c:v>1.6047500601781273E-3</c:v>
                </c:pt>
                <c:pt idx="14">
                  <c:v>1.7447439588240427E-3</c:v>
                </c:pt>
                <c:pt idx="15">
                  <c:v>1.9114976584153685E-3</c:v>
                </c:pt>
                <c:pt idx="16">
                  <c:v>2.1134946634259748E-3</c:v>
                </c:pt>
              </c:numCache>
            </c:numRef>
          </c:xVal>
          <c:yVal>
            <c:numRef>
              <c:f>'Transport numbers Backup'!$AE$31:$AE$47</c:f>
              <c:numCache>
                <c:formatCode>General</c:formatCode>
                <c:ptCount val="17"/>
                <c:pt idx="0">
                  <c:v>0.26251789505829221</c:v>
                </c:pt>
                <c:pt idx="1">
                  <c:v>0.26734969120218249</c:v>
                </c:pt>
                <c:pt idx="2">
                  <c:v>0.27493685325290779</c:v>
                </c:pt>
                <c:pt idx="3">
                  <c:v>0.28692417862816538</c:v>
                </c:pt>
                <c:pt idx="4">
                  <c:v>0.30598928079915788</c:v>
                </c:pt>
                <c:pt idx="5">
                  <c:v>0.3363781136163605</c:v>
                </c:pt>
                <c:pt idx="6">
                  <c:v>0.38432544941239172</c:v>
                </c:pt>
                <c:pt idx="7">
                  <c:v>0.45733467705675379</c:v>
                </c:pt>
                <c:pt idx="8">
                  <c:v>0.56001759711752752</c:v>
                </c:pt>
                <c:pt idx="9">
                  <c:v>0.68527712970911603</c:v>
                </c:pt>
                <c:pt idx="10">
                  <c:v>0.80909823401439029</c:v>
                </c:pt>
                <c:pt idx="11">
                  <c:v>0.90391842387082943</c:v>
                </c:pt>
                <c:pt idx="12">
                  <c:v>0.95998820980502741</c:v>
                </c:pt>
                <c:pt idx="13">
                  <c:v>0.98623988616715952</c:v>
                </c:pt>
                <c:pt idx="14">
                  <c:v>0.99616492873767637</c:v>
                </c:pt>
                <c:pt idx="15">
                  <c:v>0.99917056655308389</c:v>
                </c:pt>
                <c:pt idx="16">
                  <c:v>0.99987060158161001</c:v>
                </c:pt>
              </c:numCache>
            </c:numRef>
          </c:yVal>
          <c:smooth val="1"/>
          <c:extLst>
            <c:ext xmlns:c16="http://schemas.microsoft.com/office/drawing/2014/chart" uri="{C3380CC4-5D6E-409C-BE32-E72D297353CC}">
              <c16:uniqueId val="{00000003-4C07-4B1E-A21C-2D6C3AA8A67F}"/>
            </c:ext>
          </c:extLst>
        </c:ser>
        <c:ser>
          <c:idx val="4"/>
          <c:order val="4"/>
          <c:tx>
            <c:strRef>
              <c:f>'Transport numbers Backup'!$K$29</c:f>
              <c:strCache>
                <c:ptCount val="1"/>
                <c:pt idx="0">
                  <c:v>h+ meas</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xVal>
            <c:numRef>
              <c:f>'Transport numbers Backup'!$E$37:$E$42</c:f>
              <c:numCache>
                <c:formatCode>General</c:formatCode>
                <c:ptCount val="6"/>
                <c:pt idx="0">
                  <c:v>1.0275908133381287E-3</c:v>
                </c:pt>
                <c:pt idx="1">
                  <c:v>1.0832475762335481E-3</c:v>
                </c:pt>
                <c:pt idx="2">
                  <c:v>1.1452785890167783E-3</c:v>
                </c:pt>
                <c:pt idx="3">
                  <c:v>1.2148454109214603E-3</c:v>
                </c:pt>
                <c:pt idx="4">
                  <c:v>1.2934100756644895E-3</c:v>
                </c:pt>
                <c:pt idx="5">
                  <c:v>1.3828389684021297E-3</c:v>
                </c:pt>
              </c:numCache>
            </c:numRef>
          </c:xVal>
          <c:yVal>
            <c:numRef>
              <c:f>'Transport numbers Backup'!$K$37:$K$43</c:f>
              <c:numCache>
                <c:formatCode>General</c:formatCode>
                <c:ptCount val="7"/>
                <c:pt idx="0">
                  <c:v>0.62286465177398165</c:v>
                </c:pt>
                <c:pt idx="1">
                  <c:v>0.5397324940991346</c:v>
                </c:pt>
                <c:pt idx="2">
                  <c:v>0.43123628383321144</c:v>
                </c:pt>
                <c:pt idx="3">
                  <c:v>0.28578528827037775</c:v>
                </c:pt>
                <c:pt idx="4">
                  <c:v>0.20145310435931307</c:v>
                </c:pt>
                <c:pt idx="5">
                  <c:v>0.12607449856733524</c:v>
                </c:pt>
                <c:pt idx="6">
                  <c:v>7.2704658449575618E-2</c:v>
                </c:pt>
              </c:numCache>
            </c:numRef>
          </c:yVal>
          <c:smooth val="1"/>
          <c:extLst>
            <c:ext xmlns:c16="http://schemas.microsoft.com/office/drawing/2014/chart" uri="{C3380CC4-5D6E-409C-BE32-E72D297353CC}">
              <c16:uniqueId val="{00000004-4C07-4B1E-A21C-2D6C3AA8A67F}"/>
            </c:ext>
          </c:extLst>
        </c:ser>
        <c:ser>
          <c:idx val="5"/>
          <c:order val="5"/>
          <c:tx>
            <c:strRef>
              <c:f>'Transport numbers Backup'!$L$29</c:f>
              <c:strCache>
                <c:ptCount val="1"/>
                <c:pt idx="0">
                  <c:v>ion meas</c:v>
                </c:pt>
              </c:strCache>
            </c:strRef>
          </c:tx>
          <c:spPr>
            <a:ln w="19050" cap="rnd">
              <a:solidFill>
                <a:schemeClr val="accent6"/>
              </a:solidFill>
              <a:round/>
            </a:ln>
            <a:effectLst/>
          </c:spPr>
          <c:marker>
            <c:symbol val="circle"/>
            <c:size val="5"/>
            <c:spPr>
              <a:solidFill>
                <a:schemeClr val="accent6"/>
              </a:solidFill>
              <a:ln w="9525">
                <a:solidFill>
                  <a:schemeClr val="accent6"/>
                </a:solidFill>
              </a:ln>
              <a:effectLst/>
            </c:spPr>
          </c:marker>
          <c:xVal>
            <c:numRef>
              <c:f>'Transport numbers Backup'!$E$37:$E$43</c:f>
              <c:numCache>
                <c:formatCode>General</c:formatCode>
                <c:ptCount val="7"/>
                <c:pt idx="0">
                  <c:v>1.0275908133381287E-3</c:v>
                </c:pt>
                <c:pt idx="1">
                  <c:v>1.0832475762335481E-3</c:v>
                </c:pt>
                <c:pt idx="2">
                  <c:v>1.1452785890167783E-3</c:v>
                </c:pt>
                <c:pt idx="3">
                  <c:v>1.2148454109214603E-3</c:v>
                </c:pt>
                <c:pt idx="4">
                  <c:v>1.2934100756644895E-3</c:v>
                </c:pt>
                <c:pt idx="5">
                  <c:v>1.3828389684021297E-3</c:v>
                </c:pt>
                <c:pt idx="6">
                  <c:v>1.4855529971031717E-3</c:v>
                </c:pt>
              </c:numCache>
            </c:numRef>
          </c:xVal>
          <c:yVal>
            <c:numRef>
              <c:f>'Transport numbers Backup'!$L$37:$L$43</c:f>
              <c:numCache>
                <c:formatCode>General</c:formatCode>
                <c:ptCount val="7"/>
                <c:pt idx="0">
                  <c:v>0.37713534822601841</c:v>
                </c:pt>
                <c:pt idx="1">
                  <c:v>0.46026750590086546</c:v>
                </c:pt>
                <c:pt idx="2">
                  <c:v>0.56876371616678856</c:v>
                </c:pt>
                <c:pt idx="3">
                  <c:v>0.71421471172962236</c:v>
                </c:pt>
                <c:pt idx="4">
                  <c:v>0.79854689564068693</c:v>
                </c:pt>
                <c:pt idx="5">
                  <c:v>0.87392550143266479</c:v>
                </c:pt>
                <c:pt idx="6">
                  <c:v>0.92729534155042437</c:v>
                </c:pt>
              </c:numCache>
            </c:numRef>
          </c:yVal>
          <c:smooth val="1"/>
          <c:extLst>
            <c:ext xmlns:c16="http://schemas.microsoft.com/office/drawing/2014/chart" uri="{C3380CC4-5D6E-409C-BE32-E72D297353CC}">
              <c16:uniqueId val="{00000005-4C07-4B1E-A21C-2D6C3AA8A67F}"/>
            </c:ext>
          </c:extLst>
        </c:ser>
        <c:dLbls>
          <c:showLegendKey val="0"/>
          <c:showVal val="0"/>
          <c:showCatName val="0"/>
          <c:showSerName val="0"/>
          <c:showPercent val="0"/>
          <c:showBubbleSize val="0"/>
        </c:dLbls>
        <c:axId val="336897600"/>
        <c:axId val="2036315456"/>
      </c:scatterChart>
      <c:valAx>
        <c:axId val="336897600"/>
        <c:scaling>
          <c:orientation val="minMax"/>
          <c:min val="5.0000000000000012E-4"/>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1/T (1/K)</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2036315456"/>
        <c:crossesAt val="1.0000000000000004E-6"/>
        <c:crossBetween val="midCat"/>
      </c:valAx>
      <c:valAx>
        <c:axId val="2036315456"/>
        <c:scaling>
          <c:logBase val="10"/>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b-NO"/>
                  <a:t>Transport number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b-NO"/>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336897600"/>
        <c:crossesAt val="0"/>
        <c:crossBetween val="midCat"/>
      </c:valAx>
      <c:spPr>
        <a:noFill/>
        <a:ln>
          <a:noFill/>
        </a:ln>
        <a:effectLst/>
      </c:spPr>
    </c:plotArea>
    <c:legend>
      <c:legendPos val="r"/>
      <c:layout>
        <c:manualLayout>
          <c:xMode val="edge"/>
          <c:yMode val="edge"/>
          <c:x val="0.29641647143100402"/>
          <c:y val="0.50242952079373748"/>
          <c:w val="0.17705917688124037"/>
          <c:h val="0.28511284037029877"/>
        </c:manualLayout>
      </c:layout>
      <c:overlay val="0"/>
      <c:spPr>
        <a:solidFill>
          <a:schemeClr val="bg1"/>
        </a:solid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b-N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3</xdr:col>
      <xdr:colOff>600075</xdr:colOff>
      <xdr:row>1</xdr:row>
      <xdr:rowOff>85724</xdr:rowOff>
    </xdr:from>
    <xdr:to>
      <xdr:col>10</xdr:col>
      <xdr:colOff>400050</xdr:colOff>
      <xdr:row>26</xdr:row>
      <xdr:rowOff>161925</xdr:rowOff>
    </xdr:to>
    <xdr:graphicFrame macro="">
      <xdr:nvGraphicFramePr>
        <xdr:cNvPr id="3" name="Chart 2">
          <a:extLst>
            <a:ext uri="{FF2B5EF4-FFF2-40B4-BE49-F238E27FC236}">
              <a16:creationId xmlns:a16="http://schemas.microsoft.com/office/drawing/2014/main" id="{00000000-0008-0000-0000-000003000000}"/>
            </a:ext>
            <a:ext uri="{147F2762-F138-4A5C-976F-8EAC2B608ADB}">
              <a16:predDERef xmlns:a16="http://schemas.microsoft.com/office/drawing/2014/main" pred="{00000000-0008-0000-0000-00000204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533400</xdr:colOff>
      <xdr:row>1</xdr:row>
      <xdr:rowOff>80962</xdr:rowOff>
    </xdr:from>
    <xdr:to>
      <xdr:col>17</xdr:col>
      <xdr:colOff>371475</xdr:colOff>
      <xdr:row>26</xdr:row>
      <xdr:rowOff>161925</xdr:rowOff>
    </xdr:to>
    <xdr:graphicFrame macro="">
      <xdr:nvGraphicFramePr>
        <xdr:cNvPr id="4" name="Chart 3">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447675</xdr:colOff>
      <xdr:row>1</xdr:row>
      <xdr:rowOff>23812</xdr:rowOff>
    </xdr:from>
    <xdr:to>
      <xdr:col>24</xdr:col>
      <xdr:colOff>247650</xdr:colOff>
      <xdr:row>26</xdr:row>
      <xdr:rowOff>104775</xdr:rowOff>
    </xdr:to>
    <xdr:graphicFrame macro="">
      <xdr:nvGraphicFramePr>
        <xdr:cNvPr id="5" name="Chart 4">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600075</xdr:colOff>
      <xdr:row>1</xdr:row>
      <xdr:rowOff>85724</xdr:rowOff>
    </xdr:from>
    <xdr:to>
      <xdr:col>10</xdr:col>
      <xdr:colOff>400050</xdr:colOff>
      <xdr:row>26</xdr:row>
      <xdr:rowOff>161925</xdr:rowOff>
    </xdr:to>
    <xdr:graphicFrame macro="">
      <xdr:nvGraphicFramePr>
        <xdr:cNvPr id="2" name="Chart 1">
          <a:extLst>
            <a:ext uri="{FF2B5EF4-FFF2-40B4-BE49-F238E27FC236}">
              <a16:creationId xmlns:a16="http://schemas.microsoft.com/office/drawing/2014/main" id="{626AF4A5-E5D8-4550-BAEB-7D49663159AD}"/>
            </a:ext>
            <a:ext uri="{147F2762-F138-4A5C-976F-8EAC2B608ADB}">
              <a16:predDERef xmlns:a16="http://schemas.microsoft.com/office/drawing/2014/main" pred="{00000000-0008-0000-0000-000002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533400</xdr:colOff>
      <xdr:row>1</xdr:row>
      <xdr:rowOff>80962</xdr:rowOff>
    </xdr:from>
    <xdr:to>
      <xdr:col>17</xdr:col>
      <xdr:colOff>371475</xdr:colOff>
      <xdr:row>26</xdr:row>
      <xdr:rowOff>161925</xdr:rowOff>
    </xdr:to>
    <xdr:graphicFrame macro="">
      <xdr:nvGraphicFramePr>
        <xdr:cNvPr id="3" name="Chart 2">
          <a:extLst>
            <a:ext uri="{FF2B5EF4-FFF2-40B4-BE49-F238E27FC236}">
              <a16:creationId xmlns:a16="http://schemas.microsoft.com/office/drawing/2014/main" id="{1042C653-E335-4702-9C01-0C03C22C29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447675</xdr:colOff>
      <xdr:row>1</xdr:row>
      <xdr:rowOff>23812</xdr:rowOff>
    </xdr:from>
    <xdr:to>
      <xdr:col>24</xdr:col>
      <xdr:colOff>247650</xdr:colOff>
      <xdr:row>26</xdr:row>
      <xdr:rowOff>104775</xdr:rowOff>
    </xdr:to>
    <xdr:graphicFrame macro="">
      <xdr:nvGraphicFramePr>
        <xdr:cNvPr id="4" name="Chart 3">
          <a:extLst>
            <a:ext uri="{FF2B5EF4-FFF2-40B4-BE49-F238E27FC236}">
              <a16:creationId xmlns:a16="http://schemas.microsoft.com/office/drawing/2014/main" id="{DE820A92-5A10-4885-8663-9F817CFD71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B02DB-E69E-484A-9768-D45485441EC4}">
  <dimension ref="A1:A28"/>
  <sheetViews>
    <sheetView workbookViewId="0">
      <selection activeCell="A2" sqref="A2"/>
    </sheetView>
  </sheetViews>
  <sheetFormatPr defaultRowHeight="15" x14ac:dyDescent="0.25"/>
  <cols>
    <col min="1" max="1" width="250.7109375" customWidth="1"/>
  </cols>
  <sheetData>
    <row r="1" spans="1:1" x14ac:dyDescent="0.25">
      <c r="A1" s="9" t="s">
        <v>86</v>
      </c>
    </row>
    <row r="2" spans="1:1" x14ac:dyDescent="0.25">
      <c r="A2" s="9"/>
    </row>
    <row r="3" spans="1:1" x14ac:dyDescent="0.25">
      <c r="A3" s="9" t="s">
        <v>78</v>
      </c>
    </row>
    <row r="4" spans="1:1" x14ac:dyDescent="0.25">
      <c r="A4" s="12" t="s">
        <v>79</v>
      </c>
    </row>
    <row r="5" spans="1:1" x14ac:dyDescent="0.25">
      <c r="A5" s="9" t="s">
        <v>80</v>
      </c>
    </row>
    <row r="6" spans="1:1" x14ac:dyDescent="0.25">
      <c r="A6" s="9" t="s">
        <v>82</v>
      </c>
    </row>
    <row r="7" spans="1:1" x14ac:dyDescent="0.25">
      <c r="A7" s="9" t="s">
        <v>83</v>
      </c>
    </row>
    <row r="8" spans="1:1" x14ac:dyDescent="0.25">
      <c r="A8" s="9"/>
    </row>
    <row r="9" spans="1:1" ht="30" x14ac:dyDescent="0.25">
      <c r="A9" s="9" t="s">
        <v>81</v>
      </c>
    </row>
    <row r="11" spans="1:1" ht="30" x14ac:dyDescent="0.25">
      <c r="A11" s="9" t="s">
        <v>84</v>
      </c>
    </row>
    <row r="12" spans="1:1" x14ac:dyDescent="0.25">
      <c r="A12" s="9" t="s">
        <v>85</v>
      </c>
    </row>
    <row r="13" spans="1:1" x14ac:dyDescent="0.25">
      <c r="A13" s="9"/>
    </row>
    <row r="14" spans="1:1" x14ac:dyDescent="0.25">
      <c r="A14" t="s">
        <v>87</v>
      </c>
    </row>
    <row r="15" spans="1:1" x14ac:dyDescent="0.25">
      <c r="A15" s="9" t="s">
        <v>90</v>
      </c>
    </row>
    <row r="16" spans="1:1" x14ac:dyDescent="0.25">
      <c r="A16" s="9" t="s">
        <v>88</v>
      </c>
    </row>
    <row r="17" spans="1:1" x14ac:dyDescent="0.25">
      <c r="A17" s="9" t="s">
        <v>89</v>
      </c>
    </row>
    <row r="18" spans="1:1" x14ac:dyDescent="0.25">
      <c r="A18" s="9" t="s">
        <v>91</v>
      </c>
    </row>
    <row r="19" spans="1:1" x14ac:dyDescent="0.25">
      <c r="A19" s="9" t="s">
        <v>92</v>
      </c>
    </row>
    <row r="20" spans="1:1" ht="30" x14ac:dyDescent="0.25">
      <c r="A20" s="9" t="s">
        <v>93</v>
      </c>
    </row>
    <row r="21" spans="1:1" x14ac:dyDescent="0.25">
      <c r="A21" s="9" t="s">
        <v>94</v>
      </c>
    </row>
    <row r="23" spans="1:1" x14ac:dyDescent="0.25">
      <c r="A23" s="9" t="s">
        <v>98</v>
      </c>
    </row>
    <row r="24" spans="1:1" x14ac:dyDescent="0.25">
      <c r="A24" s="9" t="s">
        <v>95</v>
      </c>
    </row>
    <row r="25" spans="1:1" x14ac:dyDescent="0.25">
      <c r="A25" s="9" t="s">
        <v>97</v>
      </c>
    </row>
    <row r="26" spans="1:1" x14ac:dyDescent="0.25">
      <c r="A26" s="9" t="s">
        <v>99</v>
      </c>
    </row>
    <row r="28" spans="1:1" ht="30" x14ac:dyDescent="0.25">
      <c r="A28" s="9" t="s">
        <v>100</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50"/>
  <sheetViews>
    <sheetView tabSelected="1" topLeftCell="B1" workbookViewId="0">
      <selection activeCell="D1" sqref="D1"/>
    </sheetView>
  </sheetViews>
  <sheetFormatPr defaultRowHeight="15" x14ac:dyDescent="0.25"/>
  <cols>
    <col min="1" max="1" width="13" customWidth="1"/>
    <col min="2" max="2" width="10.5703125" bestFit="1" customWidth="1"/>
    <col min="4" max="4" width="10.140625" bestFit="1" customWidth="1"/>
    <col min="9" max="9" width="12" bestFit="1" customWidth="1"/>
    <col min="11" max="12" width="12" bestFit="1" customWidth="1"/>
    <col min="16" max="16" width="11" bestFit="1" customWidth="1"/>
    <col min="20" max="20" width="12" customWidth="1"/>
    <col min="31" max="31" width="6.42578125" customWidth="1"/>
  </cols>
  <sheetData>
    <row r="1" spans="1:26" x14ac:dyDescent="0.25">
      <c r="A1" t="s">
        <v>101</v>
      </c>
      <c r="B1" s="3" t="s">
        <v>107</v>
      </c>
      <c r="C1" t="s">
        <v>102</v>
      </c>
      <c r="D1" s="13">
        <v>45993</v>
      </c>
      <c r="E1" t="s">
        <v>103</v>
      </c>
      <c r="F1" s="3" t="s">
        <v>108</v>
      </c>
      <c r="G1" t="s">
        <v>105</v>
      </c>
      <c r="H1" s="3" t="s">
        <v>109</v>
      </c>
      <c r="I1" t="s">
        <v>106</v>
      </c>
      <c r="J1" s="3" t="s">
        <v>110</v>
      </c>
      <c r="K1" s="10" t="s">
        <v>104</v>
      </c>
      <c r="L1" s="14" t="s">
        <v>111</v>
      </c>
      <c r="M1" s="14"/>
      <c r="N1" s="14"/>
      <c r="O1" s="14"/>
      <c r="P1" s="14"/>
      <c r="Q1" s="14"/>
      <c r="R1" s="14"/>
      <c r="S1" s="14"/>
      <c r="T1" s="14"/>
      <c r="U1" s="14"/>
      <c r="V1" s="14"/>
      <c r="W1" s="14"/>
      <c r="X1" s="14"/>
      <c r="Y1" s="14"/>
      <c r="Z1" s="14"/>
    </row>
    <row r="2" spans="1:26" x14ac:dyDescent="0.25">
      <c r="A2" t="s">
        <v>5</v>
      </c>
      <c r="B2" t="s">
        <v>0</v>
      </c>
      <c r="C2" s="3">
        <v>1000</v>
      </c>
      <c r="D2" t="s">
        <v>1</v>
      </c>
    </row>
    <row r="3" spans="1:26" x14ac:dyDescent="0.25">
      <c r="B3" t="s">
        <v>2</v>
      </c>
      <c r="C3" s="3">
        <v>-50</v>
      </c>
      <c r="D3" t="s">
        <v>1</v>
      </c>
    </row>
    <row r="4" spans="1:26" x14ac:dyDescent="0.25">
      <c r="A4" t="s">
        <v>73</v>
      </c>
      <c r="B4" t="s">
        <v>61</v>
      </c>
      <c r="C4" s="3">
        <v>1</v>
      </c>
      <c r="D4" t="s">
        <v>50</v>
      </c>
    </row>
    <row r="5" spans="1:26" x14ac:dyDescent="0.25">
      <c r="B5" t="s">
        <v>4</v>
      </c>
      <c r="C5" s="3">
        <v>2.5000000000000001E-2</v>
      </c>
      <c r="D5" t="s">
        <v>50</v>
      </c>
    </row>
    <row r="6" spans="1:26" x14ac:dyDescent="0.25">
      <c r="B6" t="s">
        <v>62</v>
      </c>
      <c r="C6" s="3">
        <v>0.21</v>
      </c>
    </row>
    <row r="7" spans="1:26" ht="18.75" x14ac:dyDescent="0.35">
      <c r="A7" t="s">
        <v>74</v>
      </c>
      <c r="B7" t="s">
        <v>54</v>
      </c>
      <c r="C7" s="3">
        <v>0.1</v>
      </c>
      <c r="D7" t="s">
        <v>51</v>
      </c>
    </row>
    <row r="8" spans="1:26" x14ac:dyDescent="0.25">
      <c r="A8" t="s">
        <v>75</v>
      </c>
      <c r="B8" t="s">
        <v>43</v>
      </c>
      <c r="C8" s="3">
        <v>3</v>
      </c>
      <c r="D8" t="s">
        <v>51</v>
      </c>
    </row>
    <row r="9" spans="1:26" x14ac:dyDescent="0.25">
      <c r="A9" t="s">
        <v>46</v>
      </c>
      <c r="B9" t="s">
        <v>44</v>
      </c>
      <c r="C9" s="3">
        <v>2.2200000000000001E-2</v>
      </c>
      <c r="D9" t="s">
        <v>45</v>
      </c>
    </row>
    <row r="11" spans="1:26" x14ac:dyDescent="0.25">
      <c r="A11" s="18" t="s">
        <v>68</v>
      </c>
      <c r="B11" t="s">
        <v>34</v>
      </c>
      <c r="C11" s="3">
        <v>-105</v>
      </c>
      <c r="D11" t="s">
        <v>35</v>
      </c>
    </row>
    <row r="12" spans="1:26" x14ac:dyDescent="0.25">
      <c r="A12" s="18"/>
      <c r="B12" t="s">
        <v>36</v>
      </c>
      <c r="C12" s="3">
        <v>-95</v>
      </c>
      <c r="D12" t="s">
        <v>37</v>
      </c>
    </row>
    <row r="14" spans="1:26" x14ac:dyDescent="0.25">
      <c r="A14" s="18" t="s">
        <v>69</v>
      </c>
      <c r="B14" t="s">
        <v>38</v>
      </c>
      <c r="C14" s="3">
        <v>-60</v>
      </c>
      <c r="D14" t="s">
        <v>35</v>
      </c>
    </row>
    <row r="15" spans="1:26" x14ac:dyDescent="0.25">
      <c r="A15" s="18"/>
      <c r="B15" t="s">
        <v>39</v>
      </c>
      <c r="C15" s="3">
        <v>0</v>
      </c>
      <c r="D15" t="s">
        <v>37</v>
      </c>
    </row>
    <row r="17" spans="1:31" x14ac:dyDescent="0.25">
      <c r="A17" s="17" t="s">
        <v>70</v>
      </c>
      <c r="B17" t="s">
        <v>76</v>
      </c>
      <c r="C17" s="1">
        <v>23000</v>
      </c>
      <c r="D17" t="s">
        <v>40</v>
      </c>
    </row>
    <row r="18" spans="1:31" x14ac:dyDescent="0.25">
      <c r="A18" s="17"/>
      <c r="B18" t="s">
        <v>41</v>
      </c>
      <c r="C18" s="3">
        <v>65</v>
      </c>
      <c r="D18" t="s">
        <v>37</v>
      </c>
    </row>
    <row r="20" spans="1:31" x14ac:dyDescent="0.25">
      <c r="A20" s="17" t="s">
        <v>71</v>
      </c>
      <c r="B20" t="s">
        <v>49</v>
      </c>
      <c r="C20" s="3">
        <v>200</v>
      </c>
      <c r="D20" t="s">
        <v>40</v>
      </c>
    </row>
    <row r="21" spans="1:31" x14ac:dyDescent="0.25">
      <c r="A21" s="17"/>
      <c r="B21" t="s">
        <v>48</v>
      </c>
      <c r="C21" s="3">
        <v>66</v>
      </c>
      <c r="D21" t="s">
        <v>37</v>
      </c>
    </row>
    <row r="23" spans="1:31" x14ac:dyDescent="0.25">
      <c r="A23" s="17" t="s">
        <v>72</v>
      </c>
      <c r="B23" t="s">
        <v>47</v>
      </c>
      <c r="C23" s="3">
        <v>14</v>
      </c>
      <c r="D23" t="s">
        <v>40</v>
      </c>
    </row>
    <row r="24" spans="1:31" x14ac:dyDescent="0.25">
      <c r="A24" s="17"/>
      <c r="B24" t="s">
        <v>42</v>
      </c>
      <c r="C24" s="3">
        <v>36</v>
      </c>
      <c r="D24" t="s">
        <v>37</v>
      </c>
    </row>
    <row r="26" spans="1:31" x14ac:dyDescent="0.25">
      <c r="B26" t="s">
        <v>3</v>
      </c>
      <c r="C26" s="4">
        <f>(C4-C5)*C6</f>
        <v>0.20474999999999999</v>
      </c>
      <c r="D26" t="s">
        <v>50</v>
      </c>
    </row>
    <row r="28" spans="1:31" x14ac:dyDescent="0.25">
      <c r="A28" s="20" t="s">
        <v>5</v>
      </c>
      <c r="B28" s="20"/>
      <c r="C28" s="20"/>
      <c r="D28" s="20"/>
      <c r="E28" s="20"/>
      <c r="F28" s="15" t="s">
        <v>60</v>
      </c>
      <c r="G28" s="15"/>
      <c r="H28" s="15"/>
      <c r="I28" s="15"/>
      <c r="J28" s="15"/>
      <c r="K28" s="16" t="s">
        <v>59</v>
      </c>
      <c r="L28" s="16"/>
      <c r="M28" s="16"/>
      <c r="N28" s="19" t="s">
        <v>52</v>
      </c>
      <c r="O28" s="19"/>
      <c r="P28" s="21" t="s">
        <v>53</v>
      </c>
      <c r="Q28" s="21"/>
      <c r="R28" s="21"/>
      <c r="S28" s="22" t="s">
        <v>6</v>
      </c>
      <c r="T28" s="22"/>
      <c r="U28" s="22"/>
      <c r="V28" s="22"/>
      <c r="W28" s="15" t="s">
        <v>7</v>
      </c>
      <c r="X28" s="15"/>
      <c r="Y28" s="15"/>
      <c r="Z28" s="15"/>
      <c r="AA28" s="15"/>
      <c r="AB28" s="16" t="s">
        <v>59</v>
      </c>
      <c r="AC28" s="16"/>
      <c r="AD28" s="16"/>
      <c r="AE28" s="16"/>
    </row>
    <row r="29" spans="1:31" x14ac:dyDescent="0.25">
      <c r="A29" s="8" t="s">
        <v>10</v>
      </c>
      <c r="B29" s="8" t="s">
        <v>10</v>
      </c>
      <c r="C29" s="8" t="s">
        <v>10</v>
      </c>
      <c r="D29" s="8" t="s">
        <v>11</v>
      </c>
      <c r="E29" s="8" t="s">
        <v>12</v>
      </c>
      <c r="F29" s="6" t="s">
        <v>63</v>
      </c>
      <c r="G29" s="6" t="s">
        <v>23</v>
      </c>
      <c r="H29" s="6" t="s">
        <v>24</v>
      </c>
      <c r="I29" s="6" t="s">
        <v>64</v>
      </c>
      <c r="J29" s="6" t="s">
        <v>25</v>
      </c>
      <c r="K29" s="7" t="s">
        <v>63</v>
      </c>
      <c r="L29" s="7" t="s">
        <v>66</v>
      </c>
      <c r="M29" s="7" t="s">
        <v>55</v>
      </c>
      <c r="N29" s="4" t="s">
        <v>13</v>
      </c>
      <c r="O29" s="4" t="s">
        <v>14</v>
      </c>
      <c r="P29" s="5" t="s">
        <v>15</v>
      </c>
      <c r="Q29" s="5" t="s">
        <v>16</v>
      </c>
      <c r="R29" s="5" t="s">
        <v>17</v>
      </c>
      <c r="S29" s="11" t="s">
        <v>18</v>
      </c>
      <c r="T29" s="11" t="s">
        <v>19</v>
      </c>
      <c r="U29" s="11" t="s">
        <v>20</v>
      </c>
      <c r="V29" s="11" t="s">
        <v>21</v>
      </c>
      <c r="W29" s="6" t="s">
        <v>22</v>
      </c>
      <c r="X29" s="6" t="s">
        <v>23</v>
      </c>
      <c r="Y29" s="6" t="s">
        <v>24</v>
      </c>
      <c r="Z29" s="6" t="s">
        <v>67</v>
      </c>
      <c r="AA29" s="6" t="s">
        <v>25</v>
      </c>
      <c r="AB29" s="7" t="s">
        <v>22</v>
      </c>
      <c r="AC29" s="7" t="s">
        <v>23</v>
      </c>
      <c r="AD29" s="7" t="s">
        <v>24</v>
      </c>
      <c r="AE29" s="7" t="s">
        <v>65</v>
      </c>
    </row>
    <row r="30" spans="1:31" x14ac:dyDescent="0.25">
      <c r="A30" s="8" t="s">
        <v>57</v>
      </c>
      <c r="B30" s="8" t="s">
        <v>56</v>
      </c>
      <c r="C30" s="8" t="s">
        <v>58</v>
      </c>
      <c r="D30" s="8"/>
      <c r="E30" s="8"/>
      <c r="F30" s="6"/>
      <c r="G30" s="8" t="s">
        <v>96</v>
      </c>
      <c r="H30" s="8" t="s">
        <v>96</v>
      </c>
      <c r="I30" s="6"/>
      <c r="J30" s="6"/>
      <c r="K30" s="7"/>
      <c r="L30" s="7"/>
      <c r="M30" s="7"/>
      <c r="N30" s="4"/>
      <c r="O30" s="4"/>
      <c r="P30" s="5"/>
      <c r="Q30" s="5"/>
      <c r="R30" s="5"/>
      <c r="S30" s="11"/>
      <c r="T30" s="11"/>
      <c r="U30" s="11"/>
      <c r="V30" s="11"/>
      <c r="W30" s="6"/>
      <c r="X30" s="6"/>
      <c r="Y30" s="6"/>
      <c r="Z30" s="6"/>
      <c r="AA30" s="6"/>
      <c r="AB30" s="7"/>
      <c r="AC30" s="7"/>
      <c r="AD30" s="7"/>
      <c r="AE30" s="7"/>
    </row>
    <row r="31" spans="1:31" x14ac:dyDescent="0.25">
      <c r="A31" s="3"/>
      <c r="B31" s="8">
        <f>C2</f>
        <v>1000</v>
      </c>
      <c r="C31" s="8">
        <f>IF(ISBLANK(A31),B31,A31)</f>
        <v>1000</v>
      </c>
      <c r="D31" s="8">
        <f>C31+273.15</f>
        <v>1273.1500000000001</v>
      </c>
      <c r="E31" s="8">
        <f>1/D31</f>
        <v>7.8545340297686832E-4</v>
      </c>
      <c r="F31" s="3"/>
      <c r="G31" s="8"/>
      <c r="H31" s="8"/>
      <c r="I31" s="3"/>
      <c r="J31" s="6"/>
      <c r="K31" s="7" t="e">
        <f t="shared" ref="K31:K47" si="0">F31/$J31</f>
        <v>#DIV/0!</v>
      </c>
      <c r="L31" s="7" t="e">
        <f t="shared" ref="L31:L47" si="1">I31/J31</f>
        <v>#DIV/0!</v>
      </c>
      <c r="M31" s="7"/>
      <c r="N31" s="4">
        <f t="shared" ref="N31:N47" si="2">EXP(C$11/8.3144)*EXP(-C$12*1000/8.3144/D31)</f>
        <v>2.5883918844601238E-2</v>
      </c>
      <c r="O31" s="4">
        <f t="shared" ref="O31:O47" si="3">EXP($C$14/8.3144)*EXP(-$C$15*1000/8.3144/$D31)</f>
        <v>7.344448495170137E-4</v>
      </c>
      <c r="P31" s="5">
        <f t="shared" ref="P31:P47" si="4">$C$17/$D31*EXP(-$C$18*1000/8.3144/$D31)</f>
        <v>3.8910635484975947E-2</v>
      </c>
      <c r="Q31" s="5">
        <f t="shared" ref="Q31:Q47" si="5">$C$20/$D31*EXP(-$C$21*1000/8.3144/$D31)</f>
        <v>3.0785279414556008E-4</v>
      </c>
      <c r="R31" s="5">
        <f t="shared" ref="R31:R47" si="6">$C$23/$D31*EXP(-$C$24*1000/8.3144/$D31)</f>
        <v>3.6665925318425733E-4</v>
      </c>
      <c r="S31" s="11">
        <f t="shared" ref="S31:S47" si="7">$C$8*$N31*$C$5*(-1+SQRT(1-($C$7/$C$8*(2-$C$7/$C$8)*(1-4/$N31/$C$5))))/(4-$N31*$C$5)</f>
        <v>9.2971339261847773E-3</v>
      </c>
      <c r="T31" s="11">
        <f t="shared" ref="T31:T47" si="8">($C$7-$S31)/2</f>
        <v>4.5351433036907612E-2</v>
      </c>
      <c r="U31" s="11">
        <f t="shared" ref="U31:U47" si="9">$C$8-$S31-$T31</f>
        <v>2.9453514330369073</v>
      </c>
      <c r="V31" s="11">
        <f t="shared" ref="V31:V47" si="10">$T31^0.5*$C$26^0.25*$O31^0.5/$U31^0.5</f>
        <v>2.2621037467682997E-3</v>
      </c>
      <c r="W31" s="6">
        <f t="shared" ref="W31:W47" si="11">1*96485*$P31*$V31*$C$9</f>
        <v>0.18853570897628408</v>
      </c>
      <c r="X31" s="6">
        <f t="shared" ref="X31:X47" si="12">2*96485*$Q31*$T31*$C$9</f>
        <v>5.9810424619966586E-2</v>
      </c>
      <c r="Y31" s="6">
        <f t="shared" ref="Y31:Y47" si="13">1*96485*$R31*$S31*$C$9</f>
        <v>7.3017088570741639E-3</v>
      </c>
      <c r="Z31" s="6">
        <f>X31+Y31</f>
        <v>6.7112133477040745E-2</v>
      </c>
      <c r="AA31" s="6">
        <f>W31+X31+Y31</f>
        <v>0.25564784245332484</v>
      </c>
      <c r="AB31" s="7">
        <f t="shared" ref="AB31:AB47" si="14">W31/$AA31</f>
        <v>0.73748210494170774</v>
      </c>
      <c r="AC31" s="7">
        <f t="shared" ref="AC31:AC47" si="15">X31/$AA31</f>
        <v>0.23395630507183543</v>
      </c>
      <c r="AD31" s="7">
        <f t="shared" ref="AD31:AD47" si="16">Y31/$AA31</f>
        <v>2.8561589986456783E-2</v>
      </c>
      <c r="AE31" s="7">
        <f>AC31+AD31</f>
        <v>0.26251789505829221</v>
      </c>
    </row>
    <row r="32" spans="1:31" x14ac:dyDescent="0.25">
      <c r="A32" s="3"/>
      <c r="B32" s="8">
        <f t="shared" ref="B32:B47" si="17">B31+C$3</f>
        <v>950</v>
      </c>
      <c r="C32" s="8">
        <f t="shared" ref="C32:C47" si="18">IF(ISBLANK(A32),B32,A32)</f>
        <v>950</v>
      </c>
      <c r="D32" s="8">
        <f t="shared" ref="D32:D47" si="19">C32+273.15</f>
        <v>1223.1500000000001</v>
      </c>
      <c r="E32" s="8">
        <f t="shared" ref="E32:E47" si="20">1/D32</f>
        <v>8.1756121489596524E-4</v>
      </c>
      <c r="F32" s="3"/>
      <c r="G32" s="8"/>
      <c r="H32" s="8"/>
      <c r="I32" s="3"/>
      <c r="J32" s="6"/>
      <c r="K32" s="7" t="e">
        <f t="shared" si="0"/>
        <v>#DIV/0!</v>
      </c>
      <c r="L32" s="7" t="e">
        <f t="shared" si="1"/>
        <v>#DIV/0!</v>
      </c>
      <c r="M32" s="7"/>
      <c r="N32" s="4">
        <f t="shared" si="2"/>
        <v>3.7355660369160458E-2</v>
      </c>
      <c r="O32" s="4">
        <f t="shared" si="3"/>
        <v>7.344448495170137E-4</v>
      </c>
      <c r="P32" s="5">
        <f t="shared" si="4"/>
        <v>3.15105066503647E-2</v>
      </c>
      <c r="Q32" s="5">
        <f t="shared" si="5"/>
        <v>2.4834363995730394E-4</v>
      </c>
      <c r="R32" s="5">
        <f t="shared" si="6"/>
        <v>3.3211323925972535E-4</v>
      </c>
      <c r="S32" s="11">
        <f t="shared" si="7"/>
        <v>1.1058328515733145E-2</v>
      </c>
      <c r="T32" s="11">
        <f t="shared" si="8"/>
        <v>4.4470835742133431E-2</v>
      </c>
      <c r="U32" s="11">
        <f t="shared" si="9"/>
        <v>2.9444708357421336</v>
      </c>
      <c r="V32" s="11">
        <f t="shared" si="10"/>
        <v>2.2403691793333089E-3</v>
      </c>
      <c r="W32" s="6">
        <f t="shared" si="11"/>
        <v>0.15121252005406807</v>
      </c>
      <c r="X32" s="6">
        <f t="shared" si="12"/>
        <v>4.7311977951851741E-2</v>
      </c>
      <c r="Y32" s="6">
        <f t="shared" si="13"/>
        <v>7.8666250691360965E-3</v>
      </c>
      <c r="Z32" s="6">
        <f t="shared" ref="Z32:Z47" si="21">X32+Y32</f>
        <v>5.5178603020987836E-2</v>
      </c>
      <c r="AA32" s="6">
        <f t="shared" ref="AA32:AA47" si="22">W32+X32+Y32</f>
        <v>0.20639112307505592</v>
      </c>
      <c r="AB32" s="7">
        <f t="shared" si="14"/>
        <v>0.73265030879781745</v>
      </c>
      <c r="AC32" s="7">
        <f t="shared" si="15"/>
        <v>0.22923455838091608</v>
      </c>
      <c r="AD32" s="7">
        <f t="shared" si="16"/>
        <v>3.8115132821266398E-2</v>
      </c>
      <c r="AE32" s="7">
        <f t="shared" ref="AE32:AE47" si="23">AC32+AD32</f>
        <v>0.26734969120218249</v>
      </c>
    </row>
    <row r="33" spans="1:31" x14ac:dyDescent="0.25">
      <c r="A33" s="3"/>
      <c r="B33" s="8">
        <f t="shared" si="17"/>
        <v>900</v>
      </c>
      <c r="C33" s="8">
        <f t="shared" si="18"/>
        <v>900</v>
      </c>
      <c r="D33" s="8">
        <f t="shared" si="19"/>
        <v>1173.1500000000001</v>
      </c>
      <c r="E33" s="8">
        <f t="shared" si="20"/>
        <v>8.5240591569705484E-4</v>
      </c>
      <c r="F33" s="3"/>
      <c r="G33" s="8"/>
      <c r="H33" s="8"/>
      <c r="I33" s="3"/>
      <c r="J33" s="6"/>
      <c r="K33" s="7" t="e">
        <f t="shared" si="0"/>
        <v>#DIV/0!</v>
      </c>
      <c r="L33" s="7" t="e">
        <f t="shared" si="1"/>
        <v>#DIV/0!</v>
      </c>
      <c r="M33" s="7"/>
      <c r="N33" s="4">
        <f t="shared" si="2"/>
        <v>5.5624213407215121E-2</v>
      </c>
      <c r="O33" s="4">
        <f t="shared" si="3"/>
        <v>7.344448495170137E-4</v>
      </c>
      <c r="P33" s="5">
        <f t="shared" si="4"/>
        <v>2.501937483425536E-2</v>
      </c>
      <c r="Q33" s="5">
        <f t="shared" si="5"/>
        <v>1.9636045564754524E-4</v>
      </c>
      <c r="R33" s="5">
        <f t="shared" si="6"/>
        <v>2.9777589224975592E-4</v>
      </c>
      <c r="S33" s="11">
        <f t="shared" si="7"/>
        <v>1.3318929970173133E-2</v>
      </c>
      <c r="T33" s="11">
        <f t="shared" si="8"/>
        <v>4.3340535014913438E-2</v>
      </c>
      <c r="U33" s="11">
        <f t="shared" si="9"/>
        <v>2.9433405350149133</v>
      </c>
      <c r="V33" s="11">
        <f t="shared" si="10"/>
        <v>2.2121391950625305E-3</v>
      </c>
      <c r="W33" s="6">
        <f t="shared" si="11"/>
        <v>0.11855003322279252</v>
      </c>
      <c r="X33" s="6">
        <f t="shared" si="12"/>
        <v>3.6457851415716183E-2</v>
      </c>
      <c r="Y33" s="6">
        <f t="shared" si="13"/>
        <v>8.4951616198108079E-3</v>
      </c>
      <c r="Z33" s="6">
        <f t="shared" si="21"/>
        <v>4.4953013035526991E-2</v>
      </c>
      <c r="AA33" s="6">
        <f t="shared" si="22"/>
        <v>0.16350304625831952</v>
      </c>
      <c r="AB33" s="7">
        <f t="shared" si="14"/>
        <v>0.72506314674709216</v>
      </c>
      <c r="AC33" s="7">
        <f t="shared" si="15"/>
        <v>0.22297964625145997</v>
      </c>
      <c r="AD33" s="7">
        <f t="shared" si="16"/>
        <v>5.1957207001447833E-2</v>
      </c>
      <c r="AE33" s="7">
        <f t="shared" si="23"/>
        <v>0.27493685325290779</v>
      </c>
    </row>
    <row r="34" spans="1:31" x14ac:dyDescent="0.25">
      <c r="A34" s="3"/>
      <c r="B34" s="8">
        <f t="shared" si="17"/>
        <v>850</v>
      </c>
      <c r="C34" s="8">
        <f t="shared" si="18"/>
        <v>850</v>
      </c>
      <c r="D34" s="8">
        <f t="shared" si="19"/>
        <v>1123.1500000000001</v>
      </c>
      <c r="E34" s="8">
        <f t="shared" si="20"/>
        <v>8.903530249744023E-4</v>
      </c>
      <c r="F34" s="3"/>
      <c r="G34" s="8"/>
      <c r="H34" s="8"/>
      <c r="I34" s="3"/>
      <c r="J34" s="6"/>
      <c r="K34" s="7" t="e">
        <f t="shared" si="0"/>
        <v>#DIV/0!</v>
      </c>
      <c r="L34" s="7" t="e">
        <f t="shared" si="1"/>
        <v>#DIV/0!</v>
      </c>
      <c r="M34" s="7"/>
      <c r="N34" s="4">
        <f t="shared" si="2"/>
        <v>8.5815594476697579E-2</v>
      </c>
      <c r="O34" s="4">
        <f t="shared" si="3"/>
        <v>7.344448495170137E-4</v>
      </c>
      <c r="P34" s="5">
        <f t="shared" si="4"/>
        <v>1.9424676687554262E-2</v>
      </c>
      <c r="Q34" s="5">
        <f t="shared" si="5"/>
        <v>1.5175717961909331E-4</v>
      </c>
      <c r="R34" s="5">
        <f t="shared" si="6"/>
        <v>2.639056235404905E-4</v>
      </c>
      <c r="S34" s="11">
        <f t="shared" si="7"/>
        <v>1.6256448465734073E-2</v>
      </c>
      <c r="T34" s="11">
        <f t="shared" si="8"/>
        <v>4.1871775767132968E-2</v>
      </c>
      <c r="U34" s="11">
        <f t="shared" si="9"/>
        <v>2.9418717757671331</v>
      </c>
      <c r="V34" s="11">
        <f t="shared" si="10"/>
        <v>2.1748754568005199E-3</v>
      </c>
      <c r="W34" s="6">
        <f t="shared" si="11"/>
        <v>9.0490078908693372E-2</v>
      </c>
      <c r="X34" s="6">
        <f t="shared" si="12"/>
        <v>2.7221584294923395E-2</v>
      </c>
      <c r="Y34" s="6">
        <f t="shared" si="13"/>
        <v>9.1893986422415114E-3</v>
      </c>
      <c r="Z34" s="6">
        <f t="shared" si="21"/>
        <v>3.641098293716491E-2</v>
      </c>
      <c r="AA34" s="6">
        <f t="shared" si="22"/>
        <v>0.12690106184585828</v>
      </c>
      <c r="AB34" s="7">
        <f t="shared" si="14"/>
        <v>0.71307582137183456</v>
      </c>
      <c r="AC34" s="7">
        <f t="shared" si="15"/>
        <v>0.21451029565054688</v>
      </c>
      <c r="AD34" s="7">
        <f t="shared" si="16"/>
        <v>7.2413882977618513E-2</v>
      </c>
      <c r="AE34" s="7">
        <f t="shared" si="23"/>
        <v>0.28692417862816538</v>
      </c>
    </row>
    <row r="35" spans="1:31" x14ac:dyDescent="0.25">
      <c r="A35" s="3"/>
      <c r="B35" s="8">
        <f t="shared" si="17"/>
        <v>800</v>
      </c>
      <c r="C35" s="8">
        <f t="shared" si="18"/>
        <v>800</v>
      </c>
      <c r="D35" s="8">
        <f t="shared" si="19"/>
        <v>1073.1500000000001</v>
      </c>
      <c r="E35" s="8">
        <f t="shared" si="20"/>
        <v>9.3183618319899353E-4</v>
      </c>
      <c r="F35" s="3"/>
      <c r="G35" s="8"/>
      <c r="H35" s="8"/>
      <c r="I35" s="3"/>
      <c r="J35" s="6"/>
      <c r="K35" s="7" t="e">
        <f t="shared" si="0"/>
        <v>#DIV/0!</v>
      </c>
      <c r="L35" s="7" t="e">
        <f t="shared" si="1"/>
        <v>#DIV/0!</v>
      </c>
      <c r="M35" s="7"/>
      <c r="N35" s="4">
        <f t="shared" si="2"/>
        <v>0.13785268862007152</v>
      </c>
      <c r="O35" s="4">
        <f t="shared" si="3"/>
        <v>7.344448495170137E-4</v>
      </c>
      <c r="P35" s="5">
        <f t="shared" si="4"/>
        <v>1.4698975310835385E-2</v>
      </c>
      <c r="Q35" s="5">
        <f t="shared" si="5"/>
        <v>1.1426564522349493E-4</v>
      </c>
      <c r="R35" s="5">
        <f t="shared" si="6"/>
        <v>2.3079161685792004E-4</v>
      </c>
      <c r="S35" s="11">
        <f t="shared" si="7"/>
        <v>2.0116833163562244E-2</v>
      </c>
      <c r="T35" s="11">
        <f t="shared" si="8"/>
        <v>3.9941583418218879E-2</v>
      </c>
      <c r="U35" s="11">
        <f t="shared" si="9"/>
        <v>2.9399415834182188</v>
      </c>
      <c r="V35" s="11">
        <f t="shared" si="10"/>
        <v>2.124852854946839E-3</v>
      </c>
      <c r="W35" s="6">
        <f t="shared" si="11"/>
        <v>6.6900397284645835E-2</v>
      </c>
      <c r="X35" s="6">
        <f t="shared" si="12"/>
        <v>1.9551664008721228E-2</v>
      </c>
      <c r="Y35" s="6">
        <f t="shared" si="13"/>
        <v>9.9447167876430993E-3</v>
      </c>
      <c r="Z35" s="6">
        <f t="shared" si="21"/>
        <v>2.9496380796364328E-2</v>
      </c>
      <c r="AA35" s="6">
        <f t="shared" si="22"/>
        <v>9.6396778081010159E-2</v>
      </c>
      <c r="AB35" s="7">
        <f t="shared" si="14"/>
        <v>0.69401071920084212</v>
      </c>
      <c r="AC35" s="7">
        <f t="shared" si="15"/>
        <v>0.20282487026994153</v>
      </c>
      <c r="AD35" s="7">
        <f t="shared" si="16"/>
        <v>0.10316441052921638</v>
      </c>
      <c r="AE35" s="7">
        <f t="shared" si="23"/>
        <v>0.30598928079915788</v>
      </c>
    </row>
    <row r="36" spans="1:31" x14ac:dyDescent="0.25">
      <c r="A36" s="3"/>
      <c r="B36" s="8">
        <f t="shared" si="17"/>
        <v>750</v>
      </c>
      <c r="C36" s="8">
        <f t="shared" si="18"/>
        <v>750</v>
      </c>
      <c r="D36" s="8">
        <f t="shared" si="19"/>
        <v>1023.15</v>
      </c>
      <c r="E36" s="8">
        <f t="shared" si="20"/>
        <v>9.7737379660851301E-4</v>
      </c>
      <c r="F36" s="3"/>
      <c r="G36" s="8"/>
      <c r="H36" s="8"/>
      <c r="I36" s="3"/>
      <c r="J36" s="6"/>
      <c r="K36" s="7" t="e">
        <f t="shared" si="0"/>
        <v>#DIV/0!</v>
      </c>
      <c r="L36" s="7" t="e">
        <f t="shared" si="1"/>
        <v>#DIV/0!</v>
      </c>
      <c r="M36" s="7"/>
      <c r="N36" s="4">
        <f t="shared" si="2"/>
        <v>0.23194414318767351</v>
      </c>
      <c r="O36" s="4">
        <f t="shared" si="3"/>
        <v>7.344448495170137E-4</v>
      </c>
      <c r="P36" s="5">
        <f t="shared" si="4"/>
        <v>1.0799369016510046E-2</v>
      </c>
      <c r="Q36" s="5">
        <f t="shared" si="5"/>
        <v>8.3492676803529757E-5</v>
      </c>
      <c r="R36" s="5">
        <f t="shared" si="6"/>
        <v>1.9875181701570647E-4</v>
      </c>
      <c r="S36" s="11">
        <f t="shared" si="7"/>
        <v>2.5233651393583908E-2</v>
      </c>
      <c r="T36" s="11">
        <f t="shared" si="8"/>
        <v>3.7383174303208047E-2</v>
      </c>
      <c r="U36" s="11">
        <f t="shared" si="9"/>
        <v>2.9373831743032079</v>
      </c>
      <c r="V36" s="11">
        <f t="shared" si="10"/>
        <v>2.0565693490058267E-3</v>
      </c>
      <c r="W36" s="6">
        <f t="shared" si="11"/>
        <v>4.7572340183152359E-2</v>
      </c>
      <c r="X36" s="6">
        <f t="shared" si="12"/>
        <v>1.337110600570246E-2</v>
      </c>
      <c r="Y36" s="6">
        <f t="shared" si="13"/>
        <v>1.0742465863254337E-2</v>
      </c>
      <c r="Z36" s="6">
        <f t="shared" si="21"/>
        <v>2.4113571868956796E-2</v>
      </c>
      <c r="AA36" s="6">
        <f t="shared" si="22"/>
        <v>7.1685912052109155E-2</v>
      </c>
      <c r="AB36" s="7">
        <f t="shared" si="14"/>
        <v>0.6636218863836395</v>
      </c>
      <c r="AC36" s="7">
        <f t="shared" si="15"/>
        <v>0.1865234831075718</v>
      </c>
      <c r="AD36" s="7">
        <f t="shared" si="16"/>
        <v>0.14985463050878867</v>
      </c>
      <c r="AE36" s="7">
        <f t="shared" si="23"/>
        <v>0.3363781136163605</v>
      </c>
    </row>
    <row r="37" spans="1:31" x14ac:dyDescent="0.25">
      <c r="A37" s="3"/>
      <c r="B37" s="8">
        <f t="shared" si="17"/>
        <v>700</v>
      </c>
      <c r="C37" s="8">
        <f t="shared" si="18"/>
        <v>700</v>
      </c>
      <c r="D37" s="8">
        <f t="shared" si="19"/>
        <v>973.15</v>
      </c>
      <c r="E37" s="8">
        <f t="shared" si="20"/>
        <v>1.0275908133381287E-3</v>
      </c>
      <c r="F37" s="3">
        <v>3.3180000000000001E-2</v>
      </c>
      <c r="G37" s="8"/>
      <c r="H37" s="8"/>
      <c r="I37" s="3">
        <v>2.009E-2</v>
      </c>
      <c r="J37" s="6">
        <f>F37+I37</f>
        <v>5.3269999999999998E-2</v>
      </c>
      <c r="K37" s="7">
        <f t="shared" si="0"/>
        <v>0.62286465177398165</v>
      </c>
      <c r="L37" s="7">
        <f t="shared" si="1"/>
        <v>0.37713534822601841</v>
      </c>
      <c r="M37" s="7">
        <f>K37+L37</f>
        <v>1</v>
      </c>
      <c r="N37" s="4">
        <f t="shared" si="2"/>
        <v>0.41169146358611752</v>
      </c>
      <c r="O37" s="4">
        <f t="shared" si="3"/>
        <v>7.344448495170137E-4</v>
      </c>
      <c r="P37" s="5">
        <f t="shared" si="4"/>
        <v>7.6676192935003998E-3</v>
      </c>
      <c r="Q37" s="5">
        <f t="shared" si="5"/>
        <v>5.8923360674757447E-5</v>
      </c>
      <c r="R37" s="5">
        <f t="shared" si="6"/>
        <v>1.6812849346470793E-4</v>
      </c>
      <c r="S37" s="11">
        <f t="shared" si="7"/>
        <v>3.2034263170094182E-2</v>
      </c>
      <c r="T37" s="11">
        <f t="shared" si="8"/>
        <v>3.3982868414952912E-2</v>
      </c>
      <c r="U37" s="11">
        <f t="shared" si="9"/>
        <v>2.9339828684149531</v>
      </c>
      <c r="V37" s="11">
        <f t="shared" si="10"/>
        <v>1.9619448827174974E-3</v>
      </c>
      <c r="W37" s="6">
        <f t="shared" si="11"/>
        <v>3.2222565831128043E-2</v>
      </c>
      <c r="X37" s="6">
        <f t="shared" si="12"/>
        <v>8.5780843788258523E-3</v>
      </c>
      <c r="Y37" s="6">
        <f t="shared" si="13"/>
        <v>1.1536360959948096E-2</v>
      </c>
      <c r="Z37" s="6">
        <f t="shared" si="21"/>
        <v>2.0114445338773948E-2</v>
      </c>
      <c r="AA37" s="6">
        <f t="shared" si="22"/>
        <v>5.2337011169901991E-2</v>
      </c>
      <c r="AB37" s="7">
        <f t="shared" si="14"/>
        <v>0.61567455058760823</v>
      </c>
      <c r="AC37" s="7">
        <f t="shared" si="15"/>
        <v>0.1639009218730271</v>
      </c>
      <c r="AD37" s="7">
        <f t="shared" si="16"/>
        <v>0.22042452753936462</v>
      </c>
      <c r="AE37" s="7">
        <f t="shared" si="23"/>
        <v>0.38432544941239172</v>
      </c>
    </row>
    <row r="38" spans="1:31" x14ac:dyDescent="0.25">
      <c r="A38" s="3"/>
      <c r="B38" s="8">
        <f t="shared" si="17"/>
        <v>650</v>
      </c>
      <c r="C38" s="8">
        <f t="shared" si="18"/>
        <v>650</v>
      </c>
      <c r="D38" s="8">
        <f t="shared" si="19"/>
        <v>923.15</v>
      </c>
      <c r="E38" s="8">
        <f t="shared" si="20"/>
        <v>1.0832475762335481E-3</v>
      </c>
      <c r="F38" s="3">
        <v>2.0580000000000001E-2</v>
      </c>
      <c r="G38" s="8"/>
      <c r="H38" s="8"/>
      <c r="I38" s="3">
        <v>1.755E-2</v>
      </c>
      <c r="J38" s="6">
        <f t="shared" ref="J38:J43" si="24">F38+I38</f>
        <v>3.8129999999999997E-2</v>
      </c>
      <c r="K38" s="7">
        <f t="shared" si="0"/>
        <v>0.5397324940991346</v>
      </c>
      <c r="L38" s="7">
        <f t="shared" si="1"/>
        <v>0.46026750590086546</v>
      </c>
      <c r="M38" s="7">
        <f t="shared" ref="M38:M43" si="25">K38+L38</f>
        <v>1</v>
      </c>
      <c r="N38" s="4">
        <f t="shared" si="2"/>
        <v>0.77759523739201497</v>
      </c>
      <c r="O38" s="4">
        <f t="shared" si="3"/>
        <v>7.344448495170137E-4</v>
      </c>
      <c r="P38" s="5">
        <f t="shared" si="4"/>
        <v>5.2312034122423629E-3</v>
      </c>
      <c r="Q38" s="5">
        <f t="shared" si="5"/>
        <v>3.9932030923199253E-5</v>
      </c>
      <c r="R38" s="5">
        <f t="shared" si="6"/>
        <v>1.3928055690909095E-4</v>
      </c>
      <c r="S38" s="11">
        <f t="shared" si="7"/>
        <v>4.0990965158035748E-2</v>
      </c>
      <c r="T38" s="11">
        <f t="shared" si="8"/>
        <v>2.9504517420982129E-2</v>
      </c>
      <c r="U38" s="11">
        <f t="shared" si="9"/>
        <v>2.9295045174209822</v>
      </c>
      <c r="V38" s="11">
        <f t="shared" si="10"/>
        <v>1.8295013917695338E-3</v>
      </c>
      <c r="W38" s="6">
        <f t="shared" si="11"/>
        <v>2.0499682157466829E-2</v>
      </c>
      <c r="X38" s="6">
        <f t="shared" si="12"/>
        <v>5.047225234321143E-3</v>
      </c>
      <c r="Y38" s="6">
        <f t="shared" si="13"/>
        <v>1.2229013218511933E-2</v>
      </c>
      <c r="Z38" s="6">
        <f t="shared" si="21"/>
        <v>1.7276238452833076E-2</v>
      </c>
      <c r="AA38" s="6">
        <f t="shared" si="22"/>
        <v>3.7775920610299905E-2</v>
      </c>
      <c r="AB38" s="7">
        <f t="shared" si="14"/>
        <v>0.54266532294324621</v>
      </c>
      <c r="AC38" s="7">
        <f t="shared" si="15"/>
        <v>0.13360958919807178</v>
      </c>
      <c r="AD38" s="7">
        <f t="shared" si="16"/>
        <v>0.32372508785868198</v>
      </c>
      <c r="AE38" s="7">
        <f t="shared" si="23"/>
        <v>0.45733467705675379</v>
      </c>
    </row>
    <row r="39" spans="1:31" x14ac:dyDescent="0.25">
      <c r="A39" s="3"/>
      <c r="B39" s="8">
        <f t="shared" si="17"/>
        <v>600</v>
      </c>
      <c r="C39" s="8">
        <f t="shared" si="18"/>
        <v>600</v>
      </c>
      <c r="D39" s="8">
        <f t="shared" si="19"/>
        <v>873.15</v>
      </c>
      <c r="E39" s="8">
        <f t="shared" si="20"/>
        <v>1.1452785890167783E-3</v>
      </c>
      <c r="F39" s="3">
        <v>1.179E-2</v>
      </c>
      <c r="G39" s="8"/>
      <c r="H39" s="8"/>
      <c r="I39" s="3">
        <v>1.555E-2</v>
      </c>
      <c r="J39" s="6">
        <f t="shared" si="24"/>
        <v>2.734E-2</v>
      </c>
      <c r="K39" s="7">
        <f t="shared" si="0"/>
        <v>0.43123628383321144</v>
      </c>
      <c r="L39" s="7">
        <f t="shared" si="1"/>
        <v>0.56876371616678856</v>
      </c>
      <c r="M39" s="7">
        <f t="shared" si="25"/>
        <v>1</v>
      </c>
      <c r="N39" s="4">
        <f t="shared" si="2"/>
        <v>1.5796680129971381</v>
      </c>
      <c r="O39" s="4">
        <f t="shared" si="3"/>
        <v>7.344448495170137E-4</v>
      </c>
      <c r="P39" s="5">
        <f t="shared" si="4"/>
        <v>3.4054668255895852E-3</v>
      </c>
      <c r="Q39" s="5">
        <f t="shared" si="5"/>
        <v>2.5802174991439465E-5</v>
      </c>
      <c r="R39" s="5">
        <f t="shared" si="6"/>
        <v>1.1257171304748708E-4</v>
      </c>
      <c r="S39" s="11">
        <f t="shared" si="7"/>
        <v>5.2414273573616152E-2</v>
      </c>
      <c r="T39" s="11">
        <f t="shared" si="8"/>
        <v>2.3792863213191927E-2</v>
      </c>
      <c r="U39" s="11">
        <f t="shared" si="9"/>
        <v>2.9237928632131922</v>
      </c>
      <c r="V39" s="11">
        <f t="shared" si="10"/>
        <v>1.6445066176440689E-3</v>
      </c>
      <c r="W39" s="6">
        <f t="shared" si="11"/>
        <v>1.1995685059159324E-2</v>
      </c>
      <c r="X39" s="6">
        <f t="shared" si="12"/>
        <v>2.6299397269231735E-3</v>
      </c>
      <c r="Y39" s="6">
        <f t="shared" si="13"/>
        <v>1.2638386184746251E-2</v>
      </c>
      <c r="Z39" s="6">
        <f t="shared" si="21"/>
        <v>1.5268325911669425E-2</v>
      </c>
      <c r="AA39" s="6">
        <f t="shared" si="22"/>
        <v>2.7264010970828749E-2</v>
      </c>
      <c r="AB39" s="7">
        <f t="shared" si="14"/>
        <v>0.43998240288247248</v>
      </c>
      <c r="AC39" s="7">
        <f t="shared" si="15"/>
        <v>9.6461952342121973E-2</v>
      </c>
      <c r="AD39" s="7">
        <f t="shared" si="16"/>
        <v>0.46355564477540556</v>
      </c>
      <c r="AE39" s="7">
        <f t="shared" si="23"/>
        <v>0.56001759711752752</v>
      </c>
    </row>
    <row r="40" spans="1:31" x14ac:dyDescent="0.25">
      <c r="A40" s="3"/>
      <c r="B40" s="8">
        <f t="shared" si="17"/>
        <v>550</v>
      </c>
      <c r="C40" s="8">
        <f t="shared" si="18"/>
        <v>550</v>
      </c>
      <c r="D40" s="8">
        <f t="shared" si="19"/>
        <v>823.15</v>
      </c>
      <c r="E40" s="8">
        <f t="shared" si="20"/>
        <v>1.2148454109214603E-3</v>
      </c>
      <c r="F40" s="3">
        <v>5.7499999999999999E-3</v>
      </c>
      <c r="G40" s="8"/>
      <c r="H40" s="8"/>
      <c r="I40" s="3">
        <v>1.4370000000000001E-2</v>
      </c>
      <c r="J40" s="6">
        <f t="shared" si="24"/>
        <v>2.0119999999999999E-2</v>
      </c>
      <c r="K40" s="7">
        <f t="shared" si="0"/>
        <v>0.28578528827037775</v>
      </c>
      <c r="L40" s="7">
        <f t="shared" si="1"/>
        <v>0.71421471172962236</v>
      </c>
      <c r="M40" s="7">
        <f t="shared" si="25"/>
        <v>1</v>
      </c>
      <c r="N40" s="4">
        <f t="shared" si="2"/>
        <v>3.4976188757347701</v>
      </c>
      <c r="O40" s="4">
        <f t="shared" si="3"/>
        <v>7.344448495170137E-4</v>
      </c>
      <c r="P40" s="5">
        <f t="shared" si="4"/>
        <v>2.0969713614131182E-3</v>
      </c>
      <c r="Q40" s="5">
        <f t="shared" si="5"/>
        <v>1.5755725555022934E-5</v>
      </c>
      <c r="R40" s="5">
        <f t="shared" si="6"/>
        <v>8.8353548275488201E-5</v>
      </c>
      <c r="S40" s="11">
        <f t="shared" si="7"/>
        <v>6.5923464967213991E-2</v>
      </c>
      <c r="T40" s="11">
        <f t="shared" si="8"/>
        <v>1.7038267516393008E-2</v>
      </c>
      <c r="U40" s="11">
        <f t="shared" si="9"/>
        <v>2.9170382675163933</v>
      </c>
      <c r="V40" s="11">
        <f t="shared" si="10"/>
        <v>1.3932441414457077E-3</v>
      </c>
      <c r="W40" s="6">
        <f t="shared" si="11"/>
        <v>6.2579559306630917E-3</v>
      </c>
      <c r="X40" s="6">
        <f t="shared" si="12"/>
        <v>1.1500232257734486E-3</v>
      </c>
      <c r="Y40" s="6">
        <f t="shared" si="13"/>
        <v>1.2476041108373411E-2</v>
      </c>
      <c r="Z40" s="6">
        <f t="shared" si="21"/>
        <v>1.362606433414686E-2</v>
      </c>
      <c r="AA40" s="6">
        <f t="shared" si="22"/>
        <v>1.9884020264809951E-2</v>
      </c>
      <c r="AB40" s="7">
        <f t="shared" si="14"/>
        <v>0.31472287029088403</v>
      </c>
      <c r="AC40" s="7">
        <f t="shared" si="15"/>
        <v>5.7836554703613929E-2</v>
      </c>
      <c r="AD40" s="7">
        <f t="shared" si="16"/>
        <v>0.6274405750055021</v>
      </c>
      <c r="AE40" s="7">
        <f t="shared" si="23"/>
        <v>0.68527712970911603</v>
      </c>
    </row>
    <row r="41" spans="1:31" x14ac:dyDescent="0.25">
      <c r="A41" s="3"/>
      <c r="B41" s="8">
        <f t="shared" si="17"/>
        <v>500</v>
      </c>
      <c r="C41" s="8">
        <f t="shared" si="18"/>
        <v>500</v>
      </c>
      <c r="D41" s="8">
        <f t="shared" si="19"/>
        <v>773.15</v>
      </c>
      <c r="E41" s="8">
        <f t="shared" si="20"/>
        <v>1.2934100756644895E-3</v>
      </c>
      <c r="F41" s="3">
        <v>3.0500000000000002E-3</v>
      </c>
      <c r="G41" s="8"/>
      <c r="H41" s="8"/>
      <c r="I41" s="3">
        <v>1.209E-2</v>
      </c>
      <c r="J41" s="6">
        <f t="shared" si="24"/>
        <v>1.5140000000000001E-2</v>
      </c>
      <c r="K41" s="7">
        <f t="shared" si="0"/>
        <v>0.20145310435931307</v>
      </c>
      <c r="L41" s="7">
        <f t="shared" si="1"/>
        <v>0.79854689564068693</v>
      </c>
      <c r="M41" s="7">
        <f t="shared" si="25"/>
        <v>1</v>
      </c>
      <c r="N41" s="4">
        <f t="shared" si="2"/>
        <v>8.5827906850606155</v>
      </c>
      <c r="O41" s="4">
        <f t="shared" si="3"/>
        <v>7.344448495170137E-4</v>
      </c>
      <c r="P41" s="5">
        <f t="shared" si="4"/>
        <v>1.2079921643408358E-3</v>
      </c>
      <c r="Q41" s="5">
        <f t="shared" si="5"/>
        <v>8.9909643887007232E-6</v>
      </c>
      <c r="R41" s="5">
        <f t="shared" si="6"/>
        <v>6.6942865491420323E-5</v>
      </c>
      <c r="S41" s="11">
        <f t="shared" si="7"/>
        <v>7.9670120340972386E-2</v>
      </c>
      <c r="T41" s="11">
        <f t="shared" si="8"/>
        <v>1.016493982951381E-2</v>
      </c>
      <c r="U41" s="11">
        <f t="shared" si="9"/>
        <v>2.9101649398295137</v>
      </c>
      <c r="V41" s="11">
        <f t="shared" si="10"/>
        <v>1.0774054706002957E-3</v>
      </c>
      <c r="W41" s="6">
        <f t="shared" si="11"/>
        <v>2.787764409208169E-3</v>
      </c>
      <c r="X41" s="6">
        <f t="shared" si="12"/>
        <v>3.9151991798318995E-4</v>
      </c>
      <c r="Y41" s="6">
        <f t="shared" si="13"/>
        <v>1.1423851452172312E-2</v>
      </c>
      <c r="Z41" s="6">
        <f t="shared" si="21"/>
        <v>1.1815371370155502E-2</v>
      </c>
      <c r="AA41" s="6">
        <f t="shared" si="22"/>
        <v>1.4603135779363671E-2</v>
      </c>
      <c r="AB41" s="7">
        <f t="shared" si="14"/>
        <v>0.19090176598560979</v>
      </c>
      <c r="AC41" s="7">
        <f t="shared" si="15"/>
        <v>2.681067435779539E-2</v>
      </c>
      <c r="AD41" s="7">
        <f t="shared" si="16"/>
        <v>0.78228755965659491</v>
      </c>
      <c r="AE41" s="7">
        <f t="shared" si="23"/>
        <v>0.80909823401439029</v>
      </c>
    </row>
    <row r="42" spans="1:31" x14ac:dyDescent="0.25">
      <c r="A42" s="3"/>
      <c r="B42" s="8">
        <f t="shared" si="17"/>
        <v>450</v>
      </c>
      <c r="C42" s="8">
        <f t="shared" si="18"/>
        <v>450</v>
      </c>
      <c r="D42" s="8">
        <f t="shared" si="19"/>
        <v>723.15</v>
      </c>
      <c r="E42" s="8">
        <f t="shared" si="20"/>
        <v>1.3828389684021297E-3</v>
      </c>
      <c r="F42" s="3">
        <v>1.32E-3</v>
      </c>
      <c r="G42" s="8"/>
      <c r="H42" s="8"/>
      <c r="I42" s="3">
        <v>9.1500000000000001E-3</v>
      </c>
      <c r="J42" s="6">
        <f t="shared" si="24"/>
        <v>1.047E-2</v>
      </c>
      <c r="K42" s="7">
        <f t="shared" si="0"/>
        <v>0.12607449856733524</v>
      </c>
      <c r="L42" s="7">
        <f t="shared" si="1"/>
        <v>0.87392550143266479</v>
      </c>
      <c r="M42" s="7">
        <f t="shared" si="25"/>
        <v>1</v>
      </c>
      <c r="N42" s="4">
        <f t="shared" si="2"/>
        <v>23.844892582826141</v>
      </c>
      <c r="O42" s="4">
        <f t="shared" si="3"/>
        <v>7.344448495170137E-4</v>
      </c>
      <c r="P42" s="5">
        <f t="shared" si="4"/>
        <v>6.4190319522456892E-4</v>
      </c>
      <c r="Q42" s="5">
        <f t="shared" si="5"/>
        <v>4.7265087670093476E-6</v>
      </c>
      <c r="R42" s="5">
        <f t="shared" si="6"/>
        <v>4.8593187566908362E-5</v>
      </c>
      <c r="S42" s="11">
        <f t="shared" si="7"/>
        <v>9.0533184181724055E-2</v>
      </c>
      <c r="T42" s="11">
        <f t="shared" si="8"/>
        <v>4.7334079091379752E-3</v>
      </c>
      <c r="U42" s="11">
        <f t="shared" si="9"/>
        <v>2.9047334079091383</v>
      </c>
      <c r="V42" s="11">
        <f t="shared" si="10"/>
        <v>7.3590100939600683E-4</v>
      </c>
      <c r="W42" s="6">
        <f t="shared" si="11"/>
        <v>1.0118163938732977E-3</v>
      </c>
      <c r="X42" s="6">
        <f t="shared" si="12"/>
        <v>9.5842287627311056E-5</v>
      </c>
      <c r="Y42" s="6">
        <f t="shared" si="13"/>
        <v>9.4231468551719787E-3</v>
      </c>
      <c r="Z42" s="6">
        <f t="shared" si="21"/>
        <v>9.51898914279929E-3</v>
      </c>
      <c r="AA42" s="6">
        <f t="shared" si="22"/>
        <v>1.0530805536672587E-2</v>
      </c>
      <c r="AB42" s="7">
        <f t="shared" si="14"/>
        <v>9.6081576129170523E-2</v>
      </c>
      <c r="AC42" s="7">
        <f t="shared" si="15"/>
        <v>9.1011354538405326E-3</v>
      </c>
      <c r="AD42" s="7">
        <f t="shared" si="16"/>
        <v>0.89481728841698893</v>
      </c>
      <c r="AE42" s="7">
        <f t="shared" si="23"/>
        <v>0.90391842387082943</v>
      </c>
    </row>
    <row r="43" spans="1:31" x14ac:dyDescent="0.25">
      <c r="A43" s="3"/>
      <c r="B43" s="8">
        <f t="shared" si="17"/>
        <v>400</v>
      </c>
      <c r="C43" s="8">
        <f t="shared" si="18"/>
        <v>400</v>
      </c>
      <c r="D43" s="8">
        <f t="shared" si="19"/>
        <v>673.15</v>
      </c>
      <c r="E43" s="8">
        <f t="shared" si="20"/>
        <v>1.4855529971031717E-3</v>
      </c>
      <c r="F43" s="3">
        <v>5.4099499999999995E-4</v>
      </c>
      <c r="G43" s="8"/>
      <c r="H43" s="8"/>
      <c r="I43" s="3">
        <v>6.8999999999999999E-3</v>
      </c>
      <c r="J43" s="6">
        <f t="shared" si="24"/>
        <v>7.4409949999999997E-3</v>
      </c>
      <c r="K43" s="7">
        <f t="shared" si="0"/>
        <v>7.2704658449575618E-2</v>
      </c>
      <c r="L43" s="7">
        <f t="shared" si="1"/>
        <v>0.92729534155042437</v>
      </c>
      <c r="M43" s="7">
        <f t="shared" si="25"/>
        <v>1</v>
      </c>
      <c r="N43" s="4">
        <f t="shared" si="2"/>
        <v>77.1056383136861</v>
      </c>
      <c r="O43" s="4">
        <f t="shared" si="3"/>
        <v>7.344448495170137E-4</v>
      </c>
      <c r="P43" s="5">
        <f t="shared" si="4"/>
        <v>3.0892303318267249E-4</v>
      </c>
      <c r="Q43" s="5">
        <f t="shared" si="5"/>
        <v>2.246756747619108E-6</v>
      </c>
      <c r="R43" s="5">
        <f t="shared" si="6"/>
        <v>3.3461542276964954E-5</v>
      </c>
      <c r="S43" s="11">
        <f t="shared" si="7"/>
        <v>9.6659259784110135E-2</v>
      </c>
      <c r="T43" s="11">
        <f t="shared" si="8"/>
        <v>1.6703701079449351E-3</v>
      </c>
      <c r="U43" s="11">
        <f t="shared" si="9"/>
        <v>2.9016703701079449</v>
      </c>
      <c r="V43" s="11">
        <f t="shared" si="10"/>
        <v>4.3738903319622701E-4</v>
      </c>
      <c r="W43" s="6">
        <f t="shared" si="11"/>
        <v>2.8942161033443099E-4</v>
      </c>
      <c r="X43" s="6">
        <f t="shared" si="12"/>
        <v>1.6077241500112851E-5</v>
      </c>
      <c r="Y43" s="6">
        <f t="shared" si="13"/>
        <v>6.9279093242084365E-3</v>
      </c>
      <c r="Z43" s="6">
        <f t="shared" si="21"/>
        <v>6.9439865657085495E-3</v>
      </c>
      <c r="AA43" s="6">
        <f t="shared" si="22"/>
        <v>7.2334081760429807E-3</v>
      </c>
      <c r="AB43" s="7">
        <f t="shared" si="14"/>
        <v>4.0011790194972571E-2</v>
      </c>
      <c r="AC43" s="7">
        <f t="shared" si="15"/>
        <v>2.2226371177781188E-3</v>
      </c>
      <c r="AD43" s="7">
        <f t="shared" si="16"/>
        <v>0.95776557268724927</v>
      </c>
      <c r="AE43" s="7">
        <f t="shared" si="23"/>
        <v>0.95998820980502741</v>
      </c>
    </row>
    <row r="44" spans="1:31" x14ac:dyDescent="0.25">
      <c r="A44" s="3"/>
      <c r="B44" s="8">
        <f t="shared" si="17"/>
        <v>350</v>
      </c>
      <c r="C44" s="8">
        <f t="shared" si="18"/>
        <v>350</v>
      </c>
      <c r="D44" s="8">
        <f t="shared" si="19"/>
        <v>623.15</v>
      </c>
      <c r="E44" s="8">
        <f t="shared" si="20"/>
        <v>1.6047500601781273E-3</v>
      </c>
      <c r="F44" s="3"/>
      <c r="G44" s="8"/>
      <c r="H44" s="8"/>
      <c r="I44" s="3"/>
      <c r="J44" s="6"/>
      <c r="K44" s="7" t="e">
        <f t="shared" si="0"/>
        <v>#DIV/0!</v>
      </c>
      <c r="L44" s="7" t="e">
        <f t="shared" si="1"/>
        <v>#DIV/0!</v>
      </c>
      <c r="M44" s="7"/>
      <c r="N44" s="4">
        <f t="shared" si="2"/>
        <v>301.0021045055658</v>
      </c>
      <c r="O44" s="4">
        <f t="shared" si="3"/>
        <v>7.344448495170137E-4</v>
      </c>
      <c r="P44" s="5">
        <f t="shared" si="4"/>
        <v>1.3142269717725786E-4</v>
      </c>
      <c r="Q44" s="5">
        <f t="shared" si="5"/>
        <v>9.4221496825362987E-7</v>
      </c>
      <c r="R44" s="5">
        <f t="shared" si="6"/>
        <v>2.1573674845705686E-5</v>
      </c>
      <c r="S44" s="11">
        <f t="shared" si="7"/>
        <v>9.9100081660199651E-2</v>
      </c>
      <c r="T44" s="11">
        <f t="shared" si="8"/>
        <v>4.4995916990017704E-4</v>
      </c>
      <c r="U44" s="11">
        <f t="shared" si="9"/>
        <v>2.9004499591699004</v>
      </c>
      <c r="V44" s="11">
        <f t="shared" si="10"/>
        <v>2.2705937459244302E-4</v>
      </c>
      <c r="W44" s="6">
        <f t="shared" si="11"/>
        <v>6.3917913382532726E-5</v>
      </c>
      <c r="X44" s="6">
        <f t="shared" si="12"/>
        <v>1.8162092259413617E-6</v>
      </c>
      <c r="Y44" s="6">
        <f t="shared" si="13"/>
        <v>4.5794246427197172E-3</v>
      </c>
      <c r="Z44" s="6">
        <f t="shared" si="21"/>
        <v>4.5812408519456584E-3</v>
      </c>
      <c r="AA44" s="6">
        <f t="shared" si="22"/>
        <v>4.6451587653281914E-3</v>
      </c>
      <c r="AB44" s="7">
        <f t="shared" si="14"/>
        <v>1.3760113832840495E-2</v>
      </c>
      <c r="AC44" s="7">
        <f t="shared" si="15"/>
        <v>3.9098969867245047E-4</v>
      </c>
      <c r="AD44" s="7">
        <f t="shared" si="16"/>
        <v>0.98584889646848706</v>
      </c>
      <c r="AE44" s="7">
        <f t="shared" si="23"/>
        <v>0.98623988616715952</v>
      </c>
    </row>
    <row r="45" spans="1:31" x14ac:dyDescent="0.25">
      <c r="A45" s="3"/>
      <c r="B45" s="8">
        <f t="shared" si="17"/>
        <v>300</v>
      </c>
      <c r="C45" s="8">
        <f t="shared" si="18"/>
        <v>300</v>
      </c>
      <c r="D45" s="8">
        <f t="shared" si="19"/>
        <v>573.15</v>
      </c>
      <c r="E45" s="8">
        <f t="shared" si="20"/>
        <v>1.7447439588240427E-3</v>
      </c>
      <c r="F45" s="3"/>
      <c r="G45" s="8"/>
      <c r="H45" s="8"/>
      <c r="I45" s="3"/>
      <c r="J45" s="6"/>
      <c r="K45" s="7" t="e">
        <f t="shared" si="0"/>
        <v>#DIV/0!</v>
      </c>
      <c r="L45" s="7" t="e">
        <f t="shared" si="1"/>
        <v>#DIV/0!</v>
      </c>
      <c r="M45" s="7"/>
      <c r="N45" s="4">
        <f t="shared" si="2"/>
        <v>1490.2242811862279</v>
      </c>
      <c r="O45" s="4">
        <f t="shared" si="3"/>
        <v>7.344448495170137E-4</v>
      </c>
      <c r="P45" s="5">
        <f t="shared" si="4"/>
        <v>4.7828402018204869E-5</v>
      </c>
      <c r="Q45" s="5">
        <f t="shared" si="5"/>
        <v>3.3717320268104479E-7</v>
      </c>
      <c r="R45" s="5">
        <f t="shared" si="6"/>
        <v>1.2793827079200399E-5</v>
      </c>
      <c r="S45" s="11">
        <f t="shared" si="7"/>
        <v>9.9815573570746607E-2</v>
      </c>
      <c r="T45" s="11">
        <f t="shared" si="8"/>
        <v>9.2213214626699069E-5</v>
      </c>
      <c r="U45" s="11">
        <f t="shared" si="9"/>
        <v>2.9000922132146267</v>
      </c>
      <c r="V45" s="11">
        <f t="shared" si="10"/>
        <v>1.0279600808074247E-4</v>
      </c>
      <c r="W45" s="6">
        <f t="shared" si="11"/>
        <v>1.0531128123584402E-5</v>
      </c>
      <c r="X45" s="6">
        <f t="shared" si="12"/>
        <v>1.3319532583342744E-7</v>
      </c>
      <c r="Y45" s="6">
        <f t="shared" si="13"/>
        <v>2.7353415270921669E-3</v>
      </c>
      <c r="Z45" s="6">
        <f t="shared" si="21"/>
        <v>2.7354747224180003E-3</v>
      </c>
      <c r="AA45" s="6">
        <f t="shared" si="22"/>
        <v>2.7460058505415848E-3</v>
      </c>
      <c r="AB45" s="7">
        <f t="shared" si="14"/>
        <v>3.835071262323562E-3</v>
      </c>
      <c r="AC45" s="7">
        <f t="shared" si="15"/>
        <v>4.8505113638835765E-5</v>
      </c>
      <c r="AD45" s="7">
        <f t="shared" si="16"/>
        <v>0.99611642362403752</v>
      </c>
      <c r="AE45" s="7">
        <f t="shared" si="23"/>
        <v>0.99616492873767637</v>
      </c>
    </row>
    <row r="46" spans="1:31" x14ac:dyDescent="0.25">
      <c r="A46" s="3"/>
      <c r="B46" s="8">
        <f t="shared" si="17"/>
        <v>250</v>
      </c>
      <c r="C46" s="8">
        <f t="shared" si="18"/>
        <v>250</v>
      </c>
      <c r="D46" s="8">
        <f t="shared" si="19"/>
        <v>523.15</v>
      </c>
      <c r="E46" s="8">
        <f t="shared" si="20"/>
        <v>1.9114976584153685E-3</v>
      </c>
      <c r="F46" s="3"/>
      <c r="G46" s="8"/>
      <c r="H46" s="8"/>
      <c r="I46" s="3"/>
      <c r="J46" s="6"/>
      <c r="K46" s="7" t="e">
        <f t="shared" si="0"/>
        <v>#DIV/0!</v>
      </c>
      <c r="L46" s="7" t="e">
        <f t="shared" si="1"/>
        <v>#DIV/0!</v>
      </c>
      <c r="M46" s="7"/>
      <c r="N46" s="4">
        <f t="shared" si="2"/>
        <v>10016.639876156039</v>
      </c>
      <c r="O46" s="4">
        <f t="shared" si="3"/>
        <v>7.344448495170137E-4</v>
      </c>
      <c r="P46" s="5">
        <f t="shared" si="4"/>
        <v>1.4228658737802365E-5</v>
      </c>
      <c r="Q46" s="5">
        <f t="shared" si="5"/>
        <v>9.8315259181543411E-8</v>
      </c>
      <c r="R46" s="5">
        <f t="shared" si="6"/>
        <v>6.8088662582100899E-6</v>
      </c>
      <c r="S46" s="11">
        <f t="shared" si="7"/>
        <v>9.9972474909523407E-2</v>
      </c>
      <c r="T46" s="11">
        <f t="shared" si="8"/>
        <v>1.3762545238299451E-5</v>
      </c>
      <c r="U46" s="11">
        <f t="shared" si="9"/>
        <v>2.9000137625452385</v>
      </c>
      <c r="V46" s="11">
        <f t="shared" si="10"/>
        <v>3.9713203635416164E-5</v>
      </c>
      <c r="W46" s="6">
        <f t="shared" si="11"/>
        <v>1.2103519149725276E-6</v>
      </c>
      <c r="X46" s="6">
        <f t="shared" si="12"/>
        <v>5.7964548752998878E-9</v>
      </c>
      <c r="Y46" s="6">
        <f t="shared" si="13"/>
        <v>1.4580352472333409E-3</v>
      </c>
      <c r="Z46" s="6">
        <f t="shared" si="21"/>
        <v>1.4580410436882162E-3</v>
      </c>
      <c r="AA46" s="6">
        <f t="shared" si="22"/>
        <v>1.4592513956031886E-3</v>
      </c>
      <c r="AB46" s="7">
        <f t="shared" si="14"/>
        <v>8.2943344691626818E-4</v>
      </c>
      <c r="AC46" s="7">
        <f t="shared" si="15"/>
        <v>3.9722112946165082E-6</v>
      </c>
      <c r="AD46" s="7">
        <f t="shared" si="16"/>
        <v>0.99916659434178923</v>
      </c>
      <c r="AE46" s="7">
        <f t="shared" si="23"/>
        <v>0.99917056655308389</v>
      </c>
    </row>
    <row r="47" spans="1:31" x14ac:dyDescent="0.25">
      <c r="A47" s="3"/>
      <c r="B47" s="8">
        <f t="shared" si="17"/>
        <v>200</v>
      </c>
      <c r="C47" s="8">
        <f t="shared" si="18"/>
        <v>200</v>
      </c>
      <c r="D47" s="8">
        <f t="shared" si="19"/>
        <v>473.15</v>
      </c>
      <c r="E47" s="8">
        <f t="shared" si="20"/>
        <v>2.1134946634259748E-3</v>
      </c>
      <c r="F47" s="3"/>
      <c r="G47" s="8"/>
      <c r="H47" s="8"/>
      <c r="I47" s="3"/>
      <c r="J47" s="6"/>
      <c r="K47" s="7" t="e">
        <f t="shared" si="0"/>
        <v>#DIV/0!</v>
      </c>
      <c r="L47" s="7" t="e">
        <f t="shared" si="1"/>
        <v>#DIV/0!</v>
      </c>
      <c r="M47" s="7"/>
      <c r="N47" s="4">
        <f t="shared" si="2"/>
        <v>100711.23401859819</v>
      </c>
      <c r="O47" s="4">
        <f t="shared" si="3"/>
        <v>7.344448495170137E-4</v>
      </c>
      <c r="P47" s="5">
        <f t="shared" si="4"/>
        <v>3.2431640689028179E-6</v>
      </c>
      <c r="Q47" s="5">
        <f t="shared" si="5"/>
        <v>2.1871308712077603E-8</v>
      </c>
      <c r="R47" s="5">
        <f t="shared" si="6"/>
        <v>3.1395114737028817E-6</v>
      </c>
      <c r="S47" s="11">
        <f t="shared" si="7"/>
        <v>9.9997261012339467E-2</v>
      </c>
      <c r="T47" s="11">
        <f t="shared" si="8"/>
        <v>1.3694938302694082E-6</v>
      </c>
      <c r="U47" s="11">
        <f t="shared" si="9"/>
        <v>2.9000013694938302</v>
      </c>
      <c r="V47" s="11">
        <f t="shared" si="10"/>
        <v>1.2527560561836614E-5</v>
      </c>
      <c r="W47" s="6">
        <f t="shared" si="11"/>
        <v>8.7025836483965273E-8</v>
      </c>
      <c r="X47" s="6">
        <f t="shared" si="12"/>
        <v>1.2831505723623145E-10</v>
      </c>
      <c r="Y47" s="6">
        <f t="shared" si="13"/>
        <v>6.724545783268782E-4</v>
      </c>
      <c r="Z47" s="6">
        <f t="shared" si="21"/>
        <v>6.7245470664193546E-4</v>
      </c>
      <c r="AA47" s="6">
        <f t="shared" si="22"/>
        <v>6.7254173247841941E-4</v>
      </c>
      <c r="AB47" s="7">
        <f t="shared" si="14"/>
        <v>1.2939841838998113E-4</v>
      </c>
      <c r="AC47" s="7">
        <f t="shared" si="15"/>
        <v>1.907912193989372E-7</v>
      </c>
      <c r="AD47" s="7">
        <f t="shared" si="16"/>
        <v>0.99987041079039063</v>
      </c>
      <c r="AE47" s="7">
        <f t="shared" si="23"/>
        <v>0.99987060158161001</v>
      </c>
    </row>
    <row r="48" spans="1:31" x14ac:dyDescent="0.25">
      <c r="C48" s="2"/>
    </row>
    <row r="49" spans="3:3" x14ac:dyDescent="0.25">
      <c r="C49" s="2"/>
    </row>
    <row r="50" spans="3:3" x14ac:dyDescent="0.25">
      <c r="C50" s="2"/>
    </row>
  </sheetData>
  <sheetProtection selectLockedCells="1"/>
  <protectedRanges>
    <protectedRange sqref="A31:A47" name="Manual temperatures"/>
    <protectedRange sqref="F31:F47 I31:I47" name="Measured conductivities"/>
    <protectedRange sqref="C2:C24" name="Parameters"/>
    <protectedRange sqref="G30:H47" name="Measured conductivities_1"/>
  </protectedRanges>
  <mergeCells count="14">
    <mergeCell ref="AB28:AE28"/>
    <mergeCell ref="L1:Z1"/>
    <mergeCell ref="F28:J28"/>
    <mergeCell ref="K28:M28"/>
    <mergeCell ref="A17:A18"/>
    <mergeCell ref="A20:A21"/>
    <mergeCell ref="A23:A24"/>
    <mergeCell ref="A11:A12"/>
    <mergeCell ref="A14:A15"/>
    <mergeCell ref="N28:O28"/>
    <mergeCell ref="A28:E28"/>
    <mergeCell ref="P28:R28"/>
    <mergeCell ref="S28:V28"/>
    <mergeCell ref="W28:AA28"/>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7CD20-DA9C-492D-9A0B-DFFFF4BC8E8A}">
  <dimension ref="A1:AE50"/>
  <sheetViews>
    <sheetView workbookViewId="0">
      <selection activeCell="D1" sqref="D1"/>
    </sheetView>
  </sheetViews>
  <sheetFormatPr defaultRowHeight="15" x14ac:dyDescent="0.25"/>
  <cols>
    <col min="1" max="1" width="13" customWidth="1"/>
    <col min="2" max="2" width="10.5703125" bestFit="1" customWidth="1"/>
    <col min="9" max="9" width="12" bestFit="1" customWidth="1"/>
    <col min="11" max="12" width="12" bestFit="1" customWidth="1"/>
    <col min="16" max="16" width="11" bestFit="1" customWidth="1"/>
    <col min="20" max="20" width="12" customWidth="1"/>
    <col min="31" max="31" width="6.42578125" customWidth="1"/>
  </cols>
  <sheetData>
    <row r="1" spans="1:26" x14ac:dyDescent="0.25">
      <c r="A1" t="s">
        <v>101</v>
      </c>
      <c r="B1" s="3" t="s">
        <v>107</v>
      </c>
      <c r="C1" t="s">
        <v>102</v>
      </c>
      <c r="D1" s="13">
        <v>45993</v>
      </c>
      <c r="E1" t="s">
        <v>103</v>
      </c>
      <c r="F1" s="3" t="s">
        <v>108</v>
      </c>
      <c r="G1" t="s">
        <v>105</v>
      </c>
      <c r="H1" s="3" t="s">
        <v>109</v>
      </c>
      <c r="I1" t="s">
        <v>106</v>
      </c>
      <c r="J1" s="3" t="s">
        <v>110</v>
      </c>
      <c r="K1" s="10" t="s">
        <v>104</v>
      </c>
      <c r="L1" s="14" t="s">
        <v>111</v>
      </c>
      <c r="M1" s="14"/>
      <c r="N1" s="14"/>
      <c r="O1" s="14"/>
      <c r="P1" s="14"/>
      <c r="Q1" s="14"/>
      <c r="R1" s="14"/>
      <c r="S1" s="14"/>
      <c r="T1" s="14"/>
      <c r="U1" s="14"/>
      <c r="V1" s="14"/>
      <c r="W1" s="14"/>
      <c r="X1" s="14"/>
      <c r="Y1" s="14"/>
      <c r="Z1" s="14"/>
    </row>
    <row r="2" spans="1:26" x14ac:dyDescent="0.25">
      <c r="A2" t="s">
        <v>5</v>
      </c>
      <c r="B2" t="s">
        <v>0</v>
      </c>
      <c r="C2" s="3">
        <v>1000</v>
      </c>
      <c r="D2" t="s">
        <v>1</v>
      </c>
    </row>
    <row r="3" spans="1:26" x14ac:dyDescent="0.25">
      <c r="B3" t="s">
        <v>2</v>
      </c>
      <c r="C3" s="3">
        <v>-50</v>
      </c>
      <c r="D3" t="s">
        <v>1</v>
      </c>
    </row>
    <row r="4" spans="1:26" x14ac:dyDescent="0.25">
      <c r="A4" t="s">
        <v>73</v>
      </c>
      <c r="B4" t="s">
        <v>61</v>
      </c>
      <c r="C4" s="3">
        <v>1</v>
      </c>
      <c r="D4" t="s">
        <v>50</v>
      </c>
    </row>
    <row r="5" spans="1:26" x14ac:dyDescent="0.25">
      <c r="B5" t="s">
        <v>4</v>
      </c>
      <c r="C5" s="3">
        <v>2.5000000000000001E-2</v>
      </c>
      <c r="D5" t="s">
        <v>50</v>
      </c>
    </row>
    <row r="6" spans="1:26" x14ac:dyDescent="0.25">
      <c r="B6" t="s">
        <v>62</v>
      </c>
      <c r="C6" s="3">
        <v>0.21</v>
      </c>
    </row>
    <row r="7" spans="1:26" ht="18.75" x14ac:dyDescent="0.35">
      <c r="A7" t="s">
        <v>74</v>
      </c>
      <c r="B7" t="s">
        <v>54</v>
      </c>
      <c r="C7" s="3">
        <v>0.1</v>
      </c>
      <c r="D7" t="s">
        <v>51</v>
      </c>
    </row>
    <row r="8" spans="1:26" x14ac:dyDescent="0.25">
      <c r="A8" t="s">
        <v>75</v>
      </c>
      <c r="B8" t="s">
        <v>43</v>
      </c>
      <c r="C8" s="3">
        <v>3</v>
      </c>
      <c r="D8" t="s">
        <v>51</v>
      </c>
    </row>
    <row r="9" spans="1:26" x14ac:dyDescent="0.25">
      <c r="A9" t="s">
        <v>46</v>
      </c>
      <c r="B9" t="s">
        <v>44</v>
      </c>
      <c r="C9" s="3">
        <v>2.2200000000000001E-2</v>
      </c>
      <c r="D9" t="s">
        <v>45</v>
      </c>
    </row>
    <row r="11" spans="1:26" x14ac:dyDescent="0.25">
      <c r="A11" s="18" t="s">
        <v>68</v>
      </c>
      <c r="B11" t="s">
        <v>34</v>
      </c>
      <c r="C11" s="3">
        <v>-105</v>
      </c>
      <c r="D11" t="s">
        <v>35</v>
      </c>
    </row>
    <row r="12" spans="1:26" x14ac:dyDescent="0.25">
      <c r="A12" s="18"/>
      <c r="B12" t="s">
        <v>36</v>
      </c>
      <c r="C12" s="3">
        <v>-95</v>
      </c>
      <c r="D12" t="s">
        <v>37</v>
      </c>
    </row>
    <row r="14" spans="1:26" x14ac:dyDescent="0.25">
      <c r="A14" s="18" t="s">
        <v>69</v>
      </c>
      <c r="B14" t="s">
        <v>38</v>
      </c>
      <c r="C14" s="3">
        <v>-60</v>
      </c>
      <c r="D14" t="s">
        <v>35</v>
      </c>
    </row>
    <row r="15" spans="1:26" x14ac:dyDescent="0.25">
      <c r="A15" s="18"/>
      <c r="B15" t="s">
        <v>39</v>
      </c>
      <c r="C15" s="3">
        <v>0</v>
      </c>
      <c r="D15" t="s">
        <v>37</v>
      </c>
    </row>
    <row r="17" spans="1:31" x14ac:dyDescent="0.25">
      <c r="A17" s="17" t="s">
        <v>70</v>
      </c>
      <c r="B17" t="s">
        <v>76</v>
      </c>
      <c r="C17" s="1">
        <v>23000</v>
      </c>
      <c r="D17" t="s">
        <v>40</v>
      </c>
    </row>
    <row r="18" spans="1:31" x14ac:dyDescent="0.25">
      <c r="A18" s="17"/>
      <c r="B18" t="s">
        <v>41</v>
      </c>
      <c r="C18" s="3">
        <v>65</v>
      </c>
      <c r="D18" t="s">
        <v>37</v>
      </c>
    </row>
    <row r="20" spans="1:31" x14ac:dyDescent="0.25">
      <c r="A20" s="17" t="s">
        <v>71</v>
      </c>
      <c r="B20" t="s">
        <v>49</v>
      </c>
      <c r="C20" s="3">
        <v>200</v>
      </c>
      <c r="D20" t="s">
        <v>40</v>
      </c>
    </row>
    <row r="21" spans="1:31" x14ac:dyDescent="0.25">
      <c r="A21" s="17"/>
      <c r="B21" t="s">
        <v>48</v>
      </c>
      <c r="C21" s="3">
        <v>66</v>
      </c>
      <c r="D21" t="s">
        <v>37</v>
      </c>
    </row>
    <row r="23" spans="1:31" x14ac:dyDescent="0.25">
      <c r="A23" s="17" t="s">
        <v>72</v>
      </c>
      <c r="B23" t="s">
        <v>47</v>
      </c>
      <c r="C23" s="3">
        <v>14</v>
      </c>
      <c r="D23" t="s">
        <v>40</v>
      </c>
    </row>
    <row r="24" spans="1:31" x14ac:dyDescent="0.25">
      <c r="A24" s="17"/>
      <c r="B24" t="s">
        <v>42</v>
      </c>
      <c r="C24" s="3">
        <v>36</v>
      </c>
      <c r="D24" t="s">
        <v>37</v>
      </c>
    </row>
    <row r="26" spans="1:31" x14ac:dyDescent="0.25">
      <c r="B26" t="s">
        <v>3</v>
      </c>
      <c r="C26" s="4">
        <f>(C4-C5)*C6</f>
        <v>0.20474999999999999</v>
      </c>
      <c r="D26" t="s">
        <v>50</v>
      </c>
    </row>
    <row r="28" spans="1:31" x14ac:dyDescent="0.25">
      <c r="A28" s="20" t="s">
        <v>5</v>
      </c>
      <c r="B28" s="20"/>
      <c r="C28" s="20"/>
      <c r="D28" s="20"/>
      <c r="E28" s="20"/>
      <c r="F28" s="15" t="s">
        <v>60</v>
      </c>
      <c r="G28" s="15"/>
      <c r="H28" s="15"/>
      <c r="I28" s="15"/>
      <c r="J28" s="15"/>
      <c r="K28" s="16" t="s">
        <v>59</v>
      </c>
      <c r="L28" s="16"/>
      <c r="M28" s="16"/>
      <c r="N28" s="19" t="s">
        <v>52</v>
      </c>
      <c r="O28" s="19"/>
      <c r="P28" s="21" t="s">
        <v>53</v>
      </c>
      <c r="Q28" s="21"/>
      <c r="R28" s="21"/>
      <c r="S28" s="22" t="s">
        <v>6</v>
      </c>
      <c r="T28" s="22"/>
      <c r="U28" s="22"/>
      <c r="V28" s="22"/>
      <c r="W28" s="15" t="s">
        <v>7</v>
      </c>
      <c r="X28" s="15"/>
      <c r="Y28" s="15"/>
      <c r="Z28" s="15"/>
      <c r="AA28" s="15"/>
      <c r="AB28" s="16" t="s">
        <v>59</v>
      </c>
      <c r="AC28" s="16"/>
      <c r="AD28" s="16"/>
      <c r="AE28" s="16"/>
    </row>
    <row r="29" spans="1:31" x14ac:dyDescent="0.25">
      <c r="A29" s="8" t="s">
        <v>10</v>
      </c>
      <c r="B29" s="8" t="s">
        <v>10</v>
      </c>
      <c r="C29" s="8" t="s">
        <v>10</v>
      </c>
      <c r="D29" s="8" t="s">
        <v>11</v>
      </c>
      <c r="E29" s="8" t="s">
        <v>12</v>
      </c>
      <c r="F29" s="6" t="s">
        <v>63</v>
      </c>
      <c r="G29" s="6" t="s">
        <v>23</v>
      </c>
      <c r="H29" s="6" t="s">
        <v>24</v>
      </c>
      <c r="I29" s="6" t="s">
        <v>64</v>
      </c>
      <c r="J29" s="6" t="s">
        <v>25</v>
      </c>
      <c r="K29" s="7" t="s">
        <v>63</v>
      </c>
      <c r="L29" s="7" t="s">
        <v>66</v>
      </c>
      <c r="M29" s="7" t="s">
        <v>55</v>
      </c>
      <c r="N29" s="4" t="s">
        <v>13</v>
      </c>
      <c r="O29" s="4" t="s">
        <v>14</v>
      </c>
      <c r="P29" s="5" t="s">
        <v>15</v>
      </c>
      <c r="Q29" s="5" t="s">
        <v>16</v>
      </c>
      <c r="R29" s="5" t="s">
        <v>17</v>
      </c>
      <c r="S29" s="11" t="s">
        <v>18</v>
      </c>
      <c r="T29" s="11" t="s">
        <v>19</v>
      </c>
      <c r="U29" s="11" t="s">
        <v>20</v>
      </c>
      <c r="V29" s="11" t="s">
        <v>21</v>
      </c>
      <c r="W29" s="6" t="s">
        <v>22</v>
      </c>
      <c r="X29" s="6" t="s">
        <v>23</v>
      </c>
      <c r="Y29" s="6" t="s">
        <v>24</v>
      </c>
      <c r="Z29" s="6" t="s">
        <v>67</v>
      </c>
      <c r="AA29" s="6" t="s">
        <v>25</v>
      </c>
      <c r="AB29" s="7" t="s">
        <v>22</v>
      </c>
      <c r="AC29" s="7" t="s">
        <v>23</v>
      </c>
      <c r="AD29" s="7" t="s">
        <v>24</v>
      </c>
      <c r="AE29" s="7" t="s">
        <v>65</v>
      </c>
    </row>
    <row r="30" spans="1:31" x14ac:dyDescent="0.25">
      <c r="A30" s="8" t="s">
        <v>57</v>
      </c>
      <c r="B30" s="8" t="s">
        <v>56</v>
      </c>
      <c r="C30" s="8" t="s">
        <v>58</v>
      </c>
      <c r="D30" s="8"/>
      <c r="E30" s="8"/>
      <c r="F30" s="6"/>
      <c r="G30" s="8" t="s">
        <v>96</v>
      </c>
      <c r="H30" s="8" t="s">
        <v>96</v>
      </c>
      <c r="I30" s="6"/>
      <c r="J30" s="6"/>
      <c r="K30" s="7"/>
      <c r="L30" s="7"/>
      <c r="M30" s="7"/>
      <c r="N30" s="4"/>
      <c r="O30" s="4"/>
      <c r="P30" s="5"/>
      <c r="Q30" s="5"/>
      <c r="R30" s="5"/>
      <c r="S30" s="11"/>
      <c r="T30" s="11"/>
      <c r="U30" s="11"/>
      <c r="V30" s="11"/>
      <c r="W30" s="6"/>
      <c r="X30" s="6"/>
      <c r="Y30" s="6"/>
      <c r="Z30" s="6"/>
      <c r="AA30" s="6"/>
      <c r="AB30" s="7"/>
      <c r="AC30" s="7"/>
      <c r="AD30" s="7"/>
      <c r="AE30" s="7"/>
    </row>
    <row r="31" spans="1:31" x14ac:dyDescent="0.25">
      <c r="A31" s="3"/>
      <c r="B31" s="8">
        <f>C2</f>
        <v>1000</v>
      </c>
      <c r="C31" s="8">
        <f>IF(ISBLANK(A31),B31,A31)</f>
        <v>1000</v>
      </c>
      <c r="D31" s="8">
        <f>C31+273.15</f>
        <v>1273.1500000000001</v>
      </c>
      <c r="E31" s="8">
        <f>1/D31</f>
        <v>7.8545340297686832E-4</v>
      </c>
      <c r="F31" s="3"/>
      <c r="G31" s="8"/>
      <c r="H31" s="8"/>
      <c r="I31" s="3"/>
      <c r="J31" s="6"/>
      <c r="K31" s="7" t="e">
        <f t="shared" ref="K31:K47" si="0">F31/$J31</f>
        <v>#DIV/0!</v>
      </c>
      <c r="L31" s="7" t="e">
        <f t="shared" ref="L31:L47" si="1">I31/J31</f>
        <v>#DIV/0!</v>
      </c>
      <c r="M31" s="7"/>
      <c r="N31" s="4">
        <f t="shared" ref="N31:N47" si="2">EXP(C$11/8.3144)*EXP(-C$12*1000/8.3144/D31)</f>
        <v>2.5883918844601238E-2</v>
      </c>
      <c r="O31" s="4">
        <f t="shared" ref="O31:O47" si="3">EXP($C$14/8.3144)*EXP(-$C$15*1000/8.3144/$D31)</f>
        <v>7.344448495170137E-4</v>
      </c>
      <c r="P31" s="5">
        <f t="shared" ref="P31:P47" si="4">$C$17/$D31*EXP(-$C$18*1000/8.3144/$D31)</f>
        <v>3.8910635484975947E-2</v>
      </c>
      <c r="Q31" s="5">
        <f t="shared" ref="Q31:Q47" si="5">$C$20/$D31*EXP(-$C$21*1000/8.3144/$D31)</f>
        <v>3.0785279414556008E-4</v>
      </c>
      <c r="R31" s="5">
        <f t="shared" ref="R31:R47" si="6">$C$23/$D31*EXP(-$C$24*1000/8.3144/$D31)</f>
        <v>3.6665925318425733E-4</v>
      </c>
      <c r="S31" s="11">
        <f t="shared" ref="S31:S47" si="7">$C$8*$N31*$C$5*(-1+SQRT(1-($C$7/$C$8*(2-$C$7/$C$8)*(1-4/$N31/$C$5))))/(4-$N31*$C$5)</f>
        <v>9.2971339261847773E-3</v>
      </c>
      <c r="T31" s="11">
        <f t="shared" ref="T31:T47" si="8">($C$7-$S31)/2</f>
        <v>4.5351433036907612E-2</v>
      </c>
      <c r="U31" s="11">
        <f t="shared" ref="U31:U47" si="9">$C$8-$S31-$T31</f>
        <v>2.9453514330369073</v>
      </c>
      <c r="V31" s="11">
        <f t="shared" ref="V31:V47" si="10">$T31^0.5*$C$26^0.25*$O31^0.5/$U31^0.5</f>
        <v>2.2621037467682997E-3</v>
      </c>
      <c r="W31" s="6">
        <f t="shared" ref="W31:W47" si="11">1*96485*$P31*$V31*$C$9</f>
        <v>0.18853570897628408</v>
      </c>
      <c r="X31" s="6">
        <f t="shared" ref="X31:X47" si="12">2*96485*$Q31*$T31*$C$9</f>
        <v>5.9810424619966586E-2</v>
      </c>
      <c r="Y31" s="6">
        <f t="shared" ref="Y31:Y47" si="13">1*96485*$R31*$S31*$C$9</f>
        <v>7.3017088570741639E-3</v>
      </c>
      <c r="Z31" s="6">
        <f>X31+Y31</f>
        <v>6.7112133477040745E-2</v>
      </c>
      <c r="AA31" s="6">
        <f>W31+X31+Y31</f>
        <v>0.25564784245332484</v>
      </c>
      <c r="AB31" s="7">
        <f t="shared" ref="AB31:AB47" si="14">W31/$AA31</f>
        <v>0.73748210494170774</v>
      </c>
      <c r="AC31" s="7">
        <f t="shared" ref="AC31:AC47" si="15">X31/$AA31</f>
        <v>0.23395630507183543</v>
      </c>
      <c r="AD31" s="7">
        <f t="shared" ref="AD31:AD47" si="16">Y31/$AA31</f>
        <v>2.8561589986456783E-2</v>
      </c>
      <c r="AE31" s="7">
        <f>AC31+AD31</f>
        <v>0.26251789505829221</v>
      </c>
    </row>
    <row r="32" spans="1:31" x14ac:dyDescent="0.25">
      <c r="A32" s="3"/>
      <c r="B32" s="8">
        <f t="shared" ref="B32:B47" si="17">B31+C$3</f>
        <v>950</v>
      </c>
      <c r="C32" s="8">
        <f t="shared" ref="C32:C47" si="18">IF(ISBLANK(A32),B32,A32)</f>
        <v>950</v>
      </c>
      <c r="D32" s="8">
        <f t="shared" ref="D32:D47" si="19">C32+273.15</f>
        <v>1223.1500000000001</v>
      </c>
      <c r="E32" s="8">
        <f t="shared" ref="E32:E47" si="20">1/D32</f>
        <v>8.1756121489596524E-4</v>
      </c>
      <c r="F32" s="3"/>
      <c r="G32" s="8"/>
      <c r="H32" s="8"/>
      <c r="I32" s="3"/>
      <c r="J32" s="6"/>
      <c r="K32" s="7" t="e">
        <f t="shared" si="0"/>
        <v>#DIV/0!</v>
      </c>
      <c r="L32" s="7" t="e">
        <f t="shared" si="1"/>
        <v>#DIV/0!</v>
      </c>
      <c r="M32" s="7"/>
      <c r="N32" s="4">
        <f t="shared" si="2"/>
        <v>3.7355660369160458E-2</v>
      </c>
      <c r="O32" s="4">
        <f t="shared" si="3"/>
        <v>7.344448495170137E-4</v>
      </c>
      <c r="P32" s="5">
        <f t="shared" si="4"/>
        <v>3.15105066503647E-2</v>
      </c>
      <c r="Q32" s="5">
        <f t="shared" si="5"/>
        <v>2.4834363995730394E-4</v>
      </c>
      <c r="R32" s="5">
        <f t="shared" si="6"/>
        <v>3.3211323925972535E-4</v>
      </c>
      <c r="S32" s="11">
        <f t="shared" si="7"/>
        <v>1.1058328515733145E-2</v>
      </c>
      <c r="T32" s="11">
        <f t="shared" si="8"/>
        <v>4.4470835742133431E-2</v>
      </c>
      <c r="U32" s="11">
        <f t="shared" si="9"/>
        <v>2.9444708357421336</v>
      </c>
      <c r="V32" s="11">
        <f t="shared" si="10"/>
        <v>2.2403691793333089E-3</v>
      </c>
      <c r="W32" s="6">
        <f t="shared" si="11"/>
        <v>0.15121252005406807</v>
      </c>
      <c r="X32" s="6">
        <f t="shared" si="12"/>
        <v>4.7311977951851741E-2</v>
      </c>
      <c r="Y32" s="6">
        <f t="shared" si="13"/>
        <v>7.8666250691360965E-3</v>
      </c>
      <c r="Z32" s="6">
        <f t="shared" ref="Z32:Z47" si="21">X32+Y32</f>
        <v>5.5178603020987836E-2</v>
      </c>
      <c r="AA32" s="6">
        <f t="shared" ref="AA32:AA47" si="22">W32+X32+Y32</f>
        <v>0.20639112307505592</v>
      </c>
      <c r="AB32" s="7">
        <f t="shared" si="14"/>
        <v>0.73265030879781745</v>
      </c>
      <c r="AC32" s="7">
        <f t="shared" si="15"/>
        <v>0.22923455838091608</v>
      </c>
      <c r="AD32" s="7">
        <f t="shared" si="16"/>
        <v>3.8115132821266398E-2</v>
      </c>
      <c r="AE32" s="7">
        <f t="shared" ref="AE32:AE47" si="23">AC32+AD32</f>
        <v>0.26734969120218249</v>
      </c>
    </row>
    <row r="33" spans="1:31" x14ac:dyDescent="0.25">
      <c r="A33" s="3"/>
      <c r="B33" s="8">
        <f t="shared" si="17"/>
        <v>900</v>
      </c>
      <c r="C33" s="8">
        <f t="shared" si="18"/>
        <v>900</v>
      </c>
      <c r="D33" s="8">
        <f t="shared" si="19"/>
        <v>1173.1500000000001</v>
      </c>
      <c r="E33" s="8">
        <f t="shared" si="20"/>
        <v>8.5240591569705484E-4</v>
      </c>
      <c r="F33" s="3"/>
      <c r="G33" s="8"/>
      <c r="H33" s="8"/>
      <c r="I33" s="3"/>
      <c r="J33" s="6"/>
      <c r="K33" s="7" t="e">
        <f t="shared" si="0"/>
        <v>#DIV/0!</v>
      </c>
      <c r="L33" s="7" t="e">
        <f t="shared" si="1"/>
        <v>#DIV/0!</v>
      </c>
      <c r="M33" s="7"/>
      <c r="N33" s="4">
        <f t="shared" si="2"/>
        <v>5.5624213407215121E-2</v>
      </c>
      <c r="O33" s="4">
        <f t="shared" si="3"/>
        <v>7.344448495170137E-4</v>
      </c>
      <c r="P33" s="5">
        <f t="shared" si="4"/>
        <v>2.501937483425536E-2</v>
      </c>
      <c r="Q33" s="5">
        <f t="shared" si="5"/>
        <v>1.9636045564754524E-4</v>
      </c>
      <c r="R33" s="5">
        <f t="shared" si="6"/>
        <v>2.9777589224975592E-4</v>
      </c>
      <c r="S33" s="11">
        <f t="shared" si="7"/>
        <v>1.3318929970173133E-2</v>
      </c>
      <c r="T33" s="11">
        <f t="shared" si="8"/>
        <v>4.3340535014913438E-2</v>
      </c>
      <c r="U33" s="11">
        <f t="shared" si="9"/>
        <v>2.9433405350149133</v>
      </c>
      <c r="V33" s="11">
        <f t="shared" si="10"/>
        <v>2.2121391950625305E-3</v>
      </c>
      <c r="W33" s="6">
        <f t="shared" si="11"/>
        <v>0.11855003322279252</v>
      </c>
      <c r="X33" s="6">
        <f t="shared" si="12"/>
        <v>3.6457851415716183E-2</v>
      </c>
      <c r="Y33" s="6">
        <f t="shared" si="13"/>
        <v>8.4951616198108079E-3</v>
      </c>
      <c r="Z33" s="6">
        <f t="shared" si="21"/>
        <v>4.4953013035526991E-2</v>
      </c>
      <c r="AA33" s="6">
        <f t="shared" si="22"/>
        <v>0.16350304625831952</v>
      </c>
      <c r="AB33" s="7">
        <f t="shared" si="14"/>
        <v>0.72506314674709216</v>
      </c>
      <c r="AC33" s="7">
        <f t="shared" si="15"/>
        <v>0.22297964625145997</v>
      </c>
      <c r="AD33" s="7">
        <f t="shared" si="16"/>
        <v>5.1957207001447833E-2</v>
      </c>
      <c r="AE33" s="7">
        <f t="shared" si="23"/>
        <v>0.27493685325290779</v>
      </c>
    </row>
    <row r="34" spans="1:31" x14ac:dyDescent="0.25">
      <c r="A34" s="3"/>
      <c r="B34" s="8">
        <f t="shared" si="17"/>
        <v>850</v>
      </c>
      <c r="C34" s="8">
        <f t="shared" si="18"/>
        <v>850</v>
      </c>
      <c r="D34" s="8">
        <f t="shared" si="19"/>
        <v>1123.1500000000001</v>
      </c>
      <c r="E34" s="8">
        <f t="shared" si="20"/>
        <v>8.903530249744023E-4</v>
      </c>
      <c r="F34" s="3"/>
      <c r="G34" s="8"/>
      <c r="H34" s="8"/>
      <c r="I34" s="3"/>
      <c r="J34" s="6"/>
      <c r="K34" s="7" t="e">
        <f t="shared" si="0"/>
        <v>#DIV/0!</v>
      </c>
      <c r="L34" s="7" t="e">
        <f t="shared" si="1"/>
        <v>#DIV/0!</v>
      </c>
      <c r="M34" s="7"/>
      <c r="N34" s="4">
        <f t="shared" si="2"/>
        <v>8.5815594476697579E-2</v>
      </c>
      <c r="O34" s="4">
        <f t="shared" si="3"/>
        <v>7.344448495170137E-4</v>
      </c>
      <c r="P34" s="5">
        <f t="shared" si="4"/>
        <v>1.9424676687554262E-2</v>
      </c>
      <c r="Q34" s="5">
        <f t="shared" si="5"/>
        <v>1.5175717961909331E-4</v>
      </c>
      <c r="R34" s="5">
        <f t="shared" si="6"/>
        <v>2.639056235404905E-4</v>
      </c>
      <c r="S34" s="11">
        <f t="shared" si="7"/>
        <v>1.6256448465734073E-2</v>
      </c>
      <c r="T34" s="11">
        <f t="shared" si="8"/>
        <v>4.1871775767132968E-2</v>
      </c>
      <c r="U34" s="11">
        <f t="shared" si="9"/>
        <v>2.9418717757671331</v>
      </c>
      <c r="V34" s="11">
        <f t="shared" si="10"/>
        <v>2.1748754568005199E-3</v>
      </c>
      <c r="W34" s="6">
        <f t="shared" si="11"/>
        <v>9.0490078908693372E-2</v>
      </c>
      <c r="X34" s="6">
        <f t="shared" si="12"/>
        <v>2.7221584294923395E-2</v>
      </c>
      <c r="Y34" s="6">
        <f t="shared" si="13"/>
        <v>9.1893986422415114E-3</v>
      </c>
      <c r="Z34" s="6">
        <f t="shared" si="21"/>
        <v>3.641098293716491E-2</v>
      </c>
      <c r="AA34" s="6">
        <f t="shared" si="22"/>
        <v>0.12690106184585828</v>
      </c>
      <c r="AB34" s="7">
        <f t="shared" si="14"/>
        <v>0.71307582137183456</v>
      </c>
      <c r="AC34" s="7">
        <f t="shared" si="15"/>
        <v>0.21451029565054688</v>
      </c>
      <c r="AD34" s="7">
        <f t="shared" si="16"/>
        <v>7.2413882977618513E-2</v>
      </c>
      <c r="AE34" s="7">
        <f t="shared" si="23"/>
        <v>0.28692417862816538</v>
      </c>
    </row>
    <row r="35" spans="1:31" x14ac:dyDescent="0.25">
      <c r="A35" s="3"/>
      <c r="B35" s="8">
        <f t="shared" si="17"/>
        <v>800</v>
      </c>
      <c r="C35" s="8">
        <f t="shared" si="18"/>
        <v>800</v>
      </c>
      <c r="D35" s="8">
        <f t="shared" si="19"/>
        <v>1073.1500000000001</v>
      </c>
      <c r="E35" s="8">
        <f t="shared" si="20"/>
        <v>9.3183618319899353E-4</v>
      </c>
      <c r="F35" s="3"/>
      <c r="G35" s="8"/>
      <c r="H35" s="8"/>
      <c r="I35" s="3"/>
      <c r="J35" s="6"/>
      <c r="K35" s="7" t="e">
        <f t="shared" si="0"/>
        <v>#DIV/0!</v>
      </c>
      <c r="L35" s="7" t="e">
        <f t="shared" si="1"/>
        <v>#DIV/0!</v>
      </c>
      <c r="M35" s="7"/>
      <c r="N35" s="4">
        <f t="shared" si="2"/>
        <v>0.13785268862007152</v>
      </c>
      <c r="O35" s="4">
        <f t="shared" si="3"/>
        <v>7.344448495170137E-4</v>
      </c>
      <c r="P35" s="5">
        <f t="shared" si="4"/>
        <v>1.4698975310835385E-2</v>
      </c>
      <c r="Q35" s="5">
        <f t="shared" si="5"/>
        <v>1.1426564522349493E-4</v>
      </c>
      <c r="R35" s="5">
        <f t="shared" si="6"/>
        <v>2.3079161685792004E-4</v>
      </c>
      <c r="S35" s="11">
        <f t="shared" si="7"/>
        <v>2.0116833163562244E-2</v>
      </c>
      <c r="T35" s="11">
        <f t="shared" si="8"/>
        <v>3.9941583418218879E-2</v>
      </c>
      <c r="U35" s="11">
        <f t="shared" si="9"/>
        <v>2.9399415834182188</v>
      </c>
      <c r="V35" s="11">
        <f t="shared" si="10"/>
        <v>2.124852854946839E-3</v>
      </c>
      <c r="W35" s="6">
        <f t="shared" si="11"/>
        <v>6.6900397284645835E-2</v>
      </c>
      <c r="X35" s="6">
        <f t="shared" si="12"/>
        <v>1.9551664008721228E-2</v>
      </c>
      <c r="Y35" s="6">
        <f t="shared" si="13"/>
        <v>9.9447167876430993E-3</v>
      </c>
      <c r="Z35" s="6">
        <f t="shared" si="21"/>
        <v>2.9496380796364328E-2</v>
      </c>
      <c r="AA35" s="6">
        <f t="shared" si="22"/>
        <v>9.6396778081010159E-2</v>
      </c>
      <c r="AB35" s="7">
        <f t="shared" si="14"/>
        <v>0.69401071920084212</v>
      </c>
      <c r="AC35" s="7">
        <f t="shared" si="15"/>
        <v>0.20282487026994153</v>
      </c>
      <c r="AD35" s="7">
        <f t="shared" si="16"/>
        <v>0.10316441052921638</v>
      </c>
      <c r="AE35" s="7">
        <f t="shared" si="23"/>
        <v>0.30598928079915788</v>
      </c>
    </row>
    <row r="36" spans="1:31" x14ac:dyDescent="0.25">
      <c r="A36" s="3"/>
      <c r="B36" s="8">
        <f t="shared" si="17"/>
        <v>750</v>
      </c>
      <c r="C36" s="8">
        <f t="shared" si="18"/>
        <v>750</v>
      </c>
      <c r="D36" s="8">
        <f t="shared" si="19"/>
        <v>1023.15</v>
      </c>
      <c r="E36" s="8">
        <f t="shared" si="20"/>
        <v>9.7737379660851301E-4</v>
      </c>
      <c r="F36" s="3"/>
      <c r="G36" s="8"/>
      <c r="H36" s="8"/>
      <c r="I36" s="3"/>
      <c r="J36" s="6"/>
      <c r="K36" s="7" t="e">
        <f t="shared" si="0"/>
        <v>#DIV/0!</v>
      </c>
      <c r="L36" s="7" t="e">
        <f t="shared" si="1"/>
        <v>#DIV/0!</v>
      </c>
      <c r="M36" s="7"/>
      <c r="N36" s="4">
        <f t="shared" si="2"/>
        <v>0.23194414318767351</v>
      </c>
      <c r="O36" s="4">
        <f t="shared" si="3"/>
        <v>7.344448495170137E-4</v>
      </c>
      <c r="P36" s="5">
        <f t="shared" si="4"/>
        <v>1.0799369016510046E-2</v>
      </c>
      <c r="Q36" s="5">
        <f t="shared" si="5"/>
        <v>8.3492676803529757E-5</v>
      </c>
      <c r="R36" s="5">
        <f t="shared" si="6"/>
        <v>1.9875181701570647E-4</v>
      </c>
      <c r="S36" s="11">
        <f t="shared" si="7"/>
        <v>2.5233651393583908E-2</v>
      </c>
      <c r="T36" s="11">
        <f t="shared" si="8"/>
        <v>3.7383174303208047E-2</v>
      </c>
      <c r="U36" s="11">
        <f t="shared" si="9"/>
        <v>2.9373831743032079</v>
      </c>
      <c r="V36" s="11">
        <f t="shared" si="10"/>
        <v>2.0565693490058267E-3</v>
      </c>
      <c r="W36" s="6">
        <f t="shared" si="11"/>
        <v>4.7572340183152359E-2</v>
      </c>
      <c r="X36" s="6">
        <f t="shared" si="12"/>
        <v>1.337110600570246E-2</v>
      </c>
      <c r="Y36" s="6">
        <f t="shared" si="13"/>
        <v>1.0742465863254337E-2</v>
      </c>
      <c r="Z36" s="6">
        <f t="shared" si="21"/>
        <v>2.4113571868956796E-2</v>
      </c>
      <c r="AA36" s="6">
        <f t="shared" si="22"/>
        <v>7.1685912052109155E-2</v>
      </c>
      <c r="AB36" s="7">
        <f t="shared" si="14"/>
        <v>0.6636218863836395</v>
      </c>
      <c r="AC36" s="7">
        <f t="shared" si="15"/>
        <v>0.1865234831075718</v>
      </c>
      <c r="AD36" s="7">
        <f t="shared" si="16"/>
        <v>0.14985463050878867</v>
      </c>
      <c r="AE36" s="7">
        <f t="shared" si="23"/>
        <v>0.3363781136163605</v>
      </c>
    </row>
    <row r="37" spans="1:31" x14ac:dyDescent="0.25">
      <c r="A37" s="3"/>
      <c r="B37" s="8">
        <f t="shared" si="17"/>
        <v>700</v>
      </c>
      <c r="C37" s="8">
        <f t="shared" si="18"/>
        <v>700</v>
      </c>
      <c r="D37" s="8">
        <f t="shared" si="19"/>
        <v>973.15</v>
      </c>
      <c r="E37" s="8">
        <f t="shared" si="20"/>
        <v>1.0275908133381287E-3</v>
      </c>
      <c r="F37" s="3">
        <v>3.3180000000000001E-2</v>
      </c>
      <c r="G37" s="8"/>
      <c r="H37" s="8"/>
      <c r="I37" s="3">
        <v>2.009E-2</v>
      </c>
      <c r="J37" s="6">
        <f>F37+I37</f>
        <v>5.3269999999999998E-2</v>
      </c>
      <c r="K37" s="7">
        <f t="shared" si="0"/>
        <v>0.62286465177398165</v>
      </c>
      <c r="L37" s="7">
        <f t="shared" si="1"/>
        <v>0.37713534822601841</v>
      </c>
      <c r="M37" s="7">
        <f>K37+L37</f>
        <v>1</v>
      </c>
      <c r="N37" s="4">
        <f t="shared" si="2"/>
        <v>0.41169146358611752</v>
      </c>
      <c r="O37" s="4">
        <f t="shared" si="3"/>
        <v>7.344448495170137E-4</v>
      </c>
      <c r="P37" s="5">
        <f t="shared" si="4"/>
        <v>7.6676192935003998E-3</v>
      </c>
      <c r="Q37" s="5">
        <f t="shared" si="5"/>
        <v>5.8923360674757447E-5</v>
      </c>
      <c r="R37" s="5">
        <f t="shared" si="6"/>
        <v>1.6812849346470793E-4</v>
      </c>
      <c r="S37" s="11">
        <f t="shared" si="7"/>
        <v>3.2034263170094182E-2</v>
      </c>
      <c r="T37" s="11">
        <f t="shared" si="8"/>
        <v>3.3982868414952912E-2</v>
      </c>
      <c r="U37" s="11">
        <f t="shared" si="9"/>
        <v>2.9339828684149531</v>
      </c>
      <c r="V37" s="11">
        <f t="shared" si="10"/>
        <v>1.9619448827174974E-3</v>
      </c>
      <c r="W37" s="6">
        <f t="shared" si="11"/>
        <v>3.2222565831128043E-2</v>
      </c>
      <c r="X37" s="6">
        <f t="shared" si="12"/>
        <v>8.5780843788258523E-3</v>
      </c>
      <c r="Y37" s="6">
        <f t="shared" si="13"/>
        <v>1.1536360959948096E-2</v>
      </c>
      <c r="Z37" s="6">
        <f t="shared" si="21"/>
        <v>2.0114445338773948E-2</v>
      </c>
      <c r="AA37" s="6">
        <f t="shared" si="22"/>
        <v>5.2337011169901991E-2</v>
      </c>
      <c r="AB37" s="7">
        <f t="shared" si="14"/>
        <v>0.61567455058760823</v>
      </c>
      <c r="AC37" s="7">
        <f t="shared" si="15"/>
        <v>0.1639009218730271</v>
      </c>
      <c r="AD37" s="7">
        <f t="shared" si="16"/>
        <v>0.22042452753936462</v>
      </c>
      <c r="AE37" s="7">
        <f t="shared" si="23"/>
        <v>0.38432544941239172</v>
      </c>
    </row>
    <row r="38" spans="1:31" x14ac:dyDescent="0.25">
      <c r="A38" s="3"/>
      <c r="B38" s="8">
        <f t="shared" si="17"/>
        <v>650</v>
      </c>
      <c r="C38" s="8">
        <f t="shared" si="18"/>
        <v>650</v>
      </c>
      <c r="D38" s="8">
        <f t="shared" si="19"/>
        <v>923.15</v>
      </c>
      <c r="E38" s="8">
        <f t="shared" si="20"/>
        <v>1.0832475762335481E-3</v>
      </c>
      <c r="F38" s="3">
        <v>2.0580000000000001E-2</v>
      </c>
      <c r="G38" s="8"/>
      <c r="H38" s="8"/>
      <c r="I38" s="3">
        <v>1.755E-2</v>
      </c>
      <c r="J38" s="6">
        <f t="shared" ref="J38:J43" si="24">F38+I38</f>
        <v>3.8129999999999997E-2</v>
      </c>
      <c r="K38" s="7">
        <f t="shared" si="0"/>
        <v>0.5397324940991346</v>
      </c>
      <c r="L38" s="7">
        <f t="shared" si="1"/>
        <v>0.46026750590086546</v>
      </c>
      <c r="M38" s="7">
        <f t="shared" ref="M38:M43" si="25">K38+L38</f>
        <v>1</v>
      </c>
      <c r="N38" s="4">
        <f t="shared" si="2"/>
        <v>0.77759523739201497</v>
      </c>
      <c r="O38" s="4">
        <f t="shared" si="3"/>
        <v>7.344448495170137E-4</v>
      </c>
      <c r="P38" s="5">
        <f t="shared" si="4"/>
        <v>5.2312034122423629E-3</v>
      </c>
      <c r="Q38" s="5">
        <f t="shared" si="5"/>
        <v>3.9932030923199253E-5</v>
      </c>
      <c r="R38" s="5">
        <f t="shared" si="6"/>
        <v>1.3928055690909095E-4</v>
      </c>
      <c r="S38" s="11">
        <f t="shared" si="7"/>
        <v>4.0990965158035748E-2</v>
      </c>
      <c r="T38" s="11">
        <f t="shared" si="8"/>
        <v>2.9504517420982129E-2</v>
      </c>
      <c r="U38" s="11">
        <f t="shared" si="9"/>
        <v>2.9295045174209822</v>
      </c>
      <c r="V38" s="11">
        <f t="shared" si="10"/>
        <v>1.8295013917695338E-3</v>
      </c>
      <c r="W38" s="6">
        <f t="shared" si="11"/>
        <v>2.0499682157466829E-2</v>
      </c>
      <c r="X38" s="6">
        <f t="shared" si="12"/>
        <v>5.047225234321143E-3</v>
      </c>
      <c r="Y38" s="6">
        <f t="shared" si="13"/>
        <v>1.2229013218511933E-2</v>
      </c>
      <c r="Z38" s="6">
        <f t="shared" si="21"/>
        <v>1.7276238452833076E-2</v>
      </c>
      <c r="AA38" s="6">
        <f t="shared" si="22"/>
        <v>3.7775920610299905E-2</v>
      </c>
      <c r="AB38" s="7">
        <f t="shared" si="14"/>
        <v>0.54266532294324621</v>
      </c>
      <c r="AC38" s="7">
        <f t="shared" si="15"/>
        <v>0.13360958919807178</v>
      </c>
      <c r="AD38" s="7">
        <f t="shared" si="16"/>
        <v>0.32372508785868198</v>
      </c>
      <c r="AE38" s="7">
        <f t="shared" si="23"/>
        <v>0.45733467705675379</v>
      </c>
    </row>
    <row r="39" spans="1:31" x14ac:dyDescent="0.25">
      <c r="A39" s="3"/>
      <c r="B39" s="8">
        <f t="shared" si="17"/>
        <v>600</v>
      </c>
      <c r="C39" s="8">
        <f t="shared" si="18"/>
        <v>600</v>
      </c>
      <c r="D39" s="8">
        <f t="shared" si="19"/>
        <v>873.15</v>
      </c>
      <c r="E39" s="8">
        <f t="shared" si="20"/>
        <v>1.1452785890167783E-3</v>
      </c>
      <c r="F39" s="3">
        <v>1.179E-2</v>
      </c>
      <c r="G39" s="8"/>
      <c r="H39" s="8"/>
      <c r="I39" s="3">
        <v>1.555E-2</v>
      </c>
      <c r="J39" s="6">
        <f t="shared" si="24"/>
        <v>2.734E-2</v>
      </c>
      <c r="K39" s="7">
        <f t="shared" si="0"/>
        <v>0.43123628383321144</v>
      </c>
      <c r="L39" s="7">
        <f t="shared" si="1"/>
        <v>0.56876371616678856</v>
      </c>
      <c r="M39" s="7">
        <f t="shared" si="25"/>
        <v>1</v>
      </c>
      <c r="N39" s="4">
        <f t="shared" si="2"/>
        <v>1.5796680129971381</v>
      </c>
      <c r="O39" s="4">
        <f t="shared" si="3"/>
        <v>7.344448495170137E-4</v>
      </c>
      <c r="P39" s="5">
        <f t="shared" si="4"/>
        <v>3.4054668255895852E-3</v>
      </c>
      <c r="Q39" s="5">
        <f t="shared" si="5"/>
        <v>2.5802174991439465E-5</v>
      </c>
      <c r="R39" s="5">
        <f t="shared" si="6"/>
        <v>1.1257171304748708E-4</v>
      </c>
      <c r="S39" s="11">
        <f t="shared" si="7"/>
        <v>5.2414273573616152E-2</v>
      </c>
      <c r="T39" s="11">
        <f t="shared" si="8"/>
        <v>2.3792863213191927E-2</v>
      </c>
      <c r="U39" s="11">
        <f t="shared" si="9"/>
        <v>2.9237928632131922</v>
      </c>
      <c r="V39" s="11">
        <f t="shared" si="10"/>
        <v>1.6445066176440689E-3</v>
      </c>
      <c r="W39" s="6">
        <f t="shared" si="11"/>
        <v>1.1995685059159324E-2</v>
      </c>
      <c r="X39" s="6">
        <f t="shared" si="12"/>
        <v>2.6299397269231735E-3</v>
      </c>
      <c r="Y39" s="6">
        <f t="shared" si="13"/>
        <v>1.2638386184746251E-2</v>
      </c>
      <c r="Z39" s="6">
        <f t="shared" si="21"/>
        <v>1.5268325911669425E-2</v>
      </c>
      <c r="AA39" s="6">
        <f t="shared" si="22"/>
        <v>2.7264010970828749E-2</v>
      </c>
      <c r="AB39" s="7">
        <f t="shared" si="14"/>
        <v>0.43998240288247248</v>
      </c>
      <c r="AC39" s="7">
        <f t="shared" si="15"/>
        <v>9.6461952342121973E-2</v>
      </c>
      <c r="AD39" s="7">
        <f t="shared" si="16"/>
        <v>0.46355564477540556</v>
      </c>
      <c r="AE39" s="7">
        <f t="shared" si="23"/>
        <v>0.56001759711752752</v>
      </c>
    </row>
    <row r="40" spans="1:31" x14ac:dyDescent="0.25">
      <c r="A40" s="3"/>
      <c r="B40" s="8">
        <f t="shared" si="17"/>
        <v>550</v>
      </c>
      <c r="C40" s="8">
        <f t="shared" si="18"/>
        <v>550</v>
      </c>
      <c r="D40" s="8">
        <f t="shared" si="19"/>
        <v>823.15</v>
      </c>
      <c r="E40" s="8">
        <f t="shared" si="20"/>
        <v>1.2148454109214603E-3</v>
      </c>
      <c r="F40" s="3">
        <v>5.7499999999999999E-3</v>
      </c>
      <c r="G40" s="8"/>
      <c r="H40" s="8"/>
      <c r="I40" s="3">
        <v>1.4370000000000001E-2</v>
      </c>
      <c r="J40" s="6">
        <f t="shared" si="24"/>
        <v>2.0119999999999999E-2</v>
      </c>
      <c r="K40" s="7">
        <f t="shared" si="0"/>
        <v>0.28578528827037775</v>
      </c>
      <c r="L40" s="7">
        <f t="shared" si="1"/>
        <v>0.71421471172962236</v>
      </c>
      <c r="M40" s="7">
        <f t="shared" si="25"/>
        <v>1</v>
      </c>
      <c r="N40" s="4">
        <f t="shared" si="2"/>
        <v>3.4976188757347701</v>
      </c>
      <c r="O40" s="4">
        <f t="shared" si="3"/>
        <v>7.344448495170137E-4</v>
      </c>
      <c r="P40" s="5">
        <f t="shared" si="4"/>
        <v>2.0969713614131182E-3</v>
      </c>
      <c r="Q40" s="5">
        <f t="shared" si="5"/>
        <v>1.5755725555022934E-5</v>
      </c>
      <c r="R40" s="5">
        <f t="shared" si="6"/>
        <v>8.8353548275488201E-5</v>
      </c>
      <c r="S40" s="11">
        <f t="shared" si="7"/>
        <v>6.5923464967213991E-2</v>
      </c>
      <c r="T40" s="11">
        <f t="shared" si="8"/>
        <v>1.7038267516393008E-2</v>
      </c>
      <c r="U40" s="11">
        <f t="shared" si="9"/>
        <v>2.9170382675163933</v>
      </c>
      <c r="V40" s="11">
        <f t="shared" si="10"/>
        <v>1.3932441414457077E-3</v>
      </c>
      <c r="W40" s="6">
        <f t="shared" si="11"/>
        <v>6.2579559306630917E-3</v>
      </c>
      <c r="X40" s="6">
        <f t="shared" si="12"/>
        <v>1.1500232257734486E-3</v>
      </c>
      <c r="Y40" s="6">
        <f t="shared" si="13"/>
        <v>1.2476041108373411E-2</v>
      </c>
      <c r="Z40" s="6">
        <f t="shared" si="21"/>
        <v>1.362606433414686E-2</v>
      </c>
      <c r="AA40" s="6">
        <f t="shared" si="22"/>
        <v>1.9884020264809951E-2</v>
      </c>
      <c r="AB40" s="7">
        <f t="shared" si="14"/>
        <v>0.31472287029088403</v>
      </c>
      <c r="AC40" s="7">
        <f t="shared" si="15"/>
        <v>5.7836554703613929E-2</v>
      </c>
      <c r="AD40" s="7">
        <f t="shared" si="16"/>
        <v>0.6274405750055021</v>
      </c>
      <c r="AE40" s="7">
        <f t="shared" si="23"/>
        <v>0.68527712970911603</v>
      </c>
    </row>
    <row r="41" spans="1:31" x14ac:dyDescent="0.25">
      <c r="A41" s="3"/>
      <c r="B41" s="8">
        <f t="shared" si="17"/>
        <v>500</v>
      </c>
      <c r="C41" s="8">
        <f t="shared" si="18"/>
        <v>500</v>
      </c>
      <c r="D41" s="8">
        <f t="shared" si="19"/>
        <v>773.15</v>
      </c>
      <c r="E41" s="8">
        <f t="shared" si="20"/>
        <v>1.2934100756644895E-3</v>
      </c>
      <c r="F41" s="3">
        <v>3.0500000000000002E-3</v>
      </c>
      <c r="G41" s="8"/>
      <c r="H41" s="8"/>
      <c r="I41" s="3">
        <v>1.209E-2</v>
      </c>
      <c r="J41" s="6">
        <f t="shared" si="24"/>
        <v>1.5140000000000001E-2</v>
      </c>
      <c r="K41" s="7">
        <f t="shared" si="0"/>
        <v>0.20145310435931307</v>
      </c>
      <c r="L41" s="7">
        <f t="shared" si="1"/>
        <v>0.79854689564068693</v>
      </c>
      <c r="M41" s="7">
        <f t="shared" si="25"/>
        <v>1</v>
      </c>
      <c r="N41" s="4">
        <f t="shared" si="2"/>
        <v>8.5827906850606155</v>
      </c>
      <c r="O41" s="4">
        <f t="shared" si="3"/>
        <v>7.344448495170137E-4</v>
      </c>
      <c r="P41" s="5">
        <f t="shared" si="4"/>
        <v>1.2079921643408358E-3</v>
      </c>
      <c r="Q41" s="5">
        <f t="shared" si="5"/>
        <v>8.9909643887007232E-6</v>
      </c>
      <c r="R41" s="5">
        <f t="shared" si="6"/>
        <v>6.6942865491420323E-5</v>
      </c>
      <c r="S41" s="11">
        <f t="shared" si="7"/>
        <v>7.9670120340972386E-2</v>
      </c>
      <c r="T41" s="11">
        <f t="shared" si="8"/>
        <v>1.016493982951381E-2</v>
      </c>
      <c r="U41" s="11">
        <f t="shared" si="9"/>
        <v>2.9101649398295137</v>
      </c>
      <c r="V41" s="11">
        <f t="shared" si="10"/>
        <v>1.0774054706002957E-3</v>
      </c>
      <c r="W41" s="6">
        <f t="shared" si="11"/>
        <v>2.787764409208169E-3</v>
      </c>
      <c r="X41" s="6">
        <f t="shared" si="12"/>
        <v>3.9151991798318995E-4</v>
      </c>
      <c r="Y41" s="6">
        <f t="shared" si="13"/>
        <v>1.1423851452172312E-2</v>
      </c>
      <c r="Z41" s="6">
        <f t="shared" si="21"/>
        <v>1.1815371370155502E-2</v>
      </c>
      <c r="AA41" s="6">
        <f t="shared" si="22"/>
        <v>1.4603135779363671E-2</v>
      </c>
      <c r="AB41" s="7">
        <f t="shared" si="14"/>
        <v>0.19090176598560979</v>
      </c>
      <c r="AC41" s="7">
        <f t="shared" si="15"/>
        <v>2.681067435779539E-2</v>
      </c>
      <c r="AD41" s="7">
        <f t="shared" si="16"/>
        <v>0.78228755965659491</v>
      </c>
      <c r="AE41" s="7">
        <f t="shared" si="23"/>
        <v>0.80909823401439029</v>
      </c>
    </row>
    <row r="42" spans="1:31" x14ac:dyDescent="0.25">
      <c r="A42" s="3"/>
      <c r="B42" s="8">
        <f t="shared" si="17"/>
        <v>450</v>
      </c>
      <c r="C42" s="8">
        <f t="shared" si="18"/>
        <v>450</v>
      </c>
      <c r="D42" s="8">
        <f t="shared" si="19"/>
        <v>723.15</v>
      </c>
      <c r="E42" s="8">
        <f t="shared" si="20"/>
        <v>1.3828389684021297E-3</v>
      </c>
      <c r="F42" s="3">
        <v>1.32E-3</v>
      </c>
      <c r="G42" s="8"/>
      <c r="H42" s="8"/>
      <c r="I42" s="3">
        <v>9.1500000000000001E-3</v>
      </c>
      <c r="J42" s="6">
        <f t="shared" si="24"/>
        <v>1.047E-2</v>
      </c>
      <c r="K42" s="7">
        <f t="shared" si="0"/>
        <v>0.12607449856733524</v>
      </c>
      <c r="L42" s="7">
        <f t="shared" si="1"/>
        <v>0.87392550143266479</v>
      </c>
      <c r="M42" s="7">
        <f t="shared" si="25"/>
        <v>1</v>
      </c>
      <c r="N42" s="4">
        <f t="shared" si="2"/>
        <v>23.844892582826141</v>
      </c>
      <c r="O42" s="4">
        <f t="shared" si="3"/>
        <v>7.344448495170137E-4</v>
      </c>
      <c r="P42" s="5">
        <f t="shared" si="4"/>
        <v>6.4190319522456892E-4</v>
      </c>
      <c r="Q42" s="5">
        <f t="shared" si="5"/>
        <v>4.7265087670093476E-6</v>
      </c>
      <c r="R42" s="5">
        <f t="shared" si="6"/>
        <v>4.8593187566908362E-5</v>
      </c>
      <c r="S42" s="11">
        <f t="shared" si="7"/>
        <v>9.0533184181724055E-2</v>
      </c>
      <c r="T42" s="11">
        <f t="shared" si="8"/>
        <v>4.7334079091379752E-3</v>
      </c>
      <c r="U42" s="11">
        <f t="shared" si="9"/>
        <v>2.9047334079091383</v>
      </c>
      <c r="V42" s="11">
        <f t="shared" si="10"/>
        <v>7.3590100939600683E-4</v>
      </c>
      <c r="W42" s="6">
        <f t="shared" si="11"/>
        <v>1.0118163938732977E-3</v>
      </c>
      <c r="X42" s="6">
        <f t="shared" si="12"/>
        <v>9.5842287627311056E-5</v>
      </c>
      <c r="Y42" s="6">
        <f t="shared" si="13"/>
        <v>9.4231468551719787E-3</v>
      </c>
      <c r="Z42" s="6">
        <f t="shared" si="21"/>
        <v>9.51898914279929E-3</v>
      </c>
      <c r="AA42" s="6">
        <f t="shared" si="22"/>
        <v>1.0530805536672587E-2</v>
      </c>
      <c r="AB42" s="7">
        <f t="shared" si="14"/>
        <v>9.6081576129170523E-2</v>
      </c>
      <c r="AC42" s="7">
        <f t="shared" si="15"/>
        <v>9.1011354538405326E-3</v>
      </c>
      <c r="AD42" s="7">
        <f t="shared" si="16"/>
        <v>0.89481728841698893</v>
      </c>
      <c r="AE42" s="7">
        <f t="shared" si="23"/>
        <v>0.90391842387082943</v>
      </c>
    </row>
    <row r="43" spans="1:31" x14ac:dyDescent="0.25">
      <c r="A43" s="3"/>
      <c r="B43" s="8">
        <f t="shared" si="17"/>
        <v>400</v>
      </c>
      <c r="C43" s="8">
        <f t="shared" si="18"/>
        <v>400</v>
      </c>
      <c r="D43" s="8">
        <f t="shared" si="19"/>
        <v>673.15</v>
      </c>
      <c r="E43" s="8">
        <f t="shared" si="20"/>
        <v>1.4855529971031717E-3</v>
      </c>
      <c r="F43" s="3">
        <v>5.4099499999999995E-4</v>
      </c>
      <c r="G43" s="8"/>
      <c r="H43" s="8"/>
      <c r="I43" s="3">
        <v>6.8999999999999999E-3</v>
      </c>
      <c r="J43" s="6">
        <f t="shared" si="24"/>
        <v>7.4409949999999997E-3</v>
      </c>
      <c r="K43" s="7">
        <f t="shared" si="0"/>
        <v>7.2704658449575618E-2</v>
      </c>
      <c r="L43" s="7">
        <f t="shared" si="1"/>
        <v>0.92729534155042437</v>
      </c>
      <c r="M43" s="7">
        <f t="shared" si="25"/>
        <v>1</v>
      </c>
      <c r="N43" s="4">
        <f t="shared" si="2"/>
        <v>77.1056383136861</v>
      </c>
      <c r="O43" s="4">
        <f t="shared" si="3"/>
        <v>7.344448495170137E-4</v>
      </c>
      <c r="P43" s="5">
        <f t="shared" si="4"/>
        <v>3.0892303318267249E-4</v>
      </c>
      <c r="Q43" s="5">
        <f t="shared" si="5"/>
        <v>2.246756747619108E-6</v>
      </c>
      <c r="R43" s="5">
        <f t="shared" si="6"/>
        <v>3.3461542276964954E-5</v>
      </c>
      <c r="S43" s="11">
        <f t="shared" si="7"/>
        <v>9.6659259784110135E-2</v>
      </c>
      <c r="T43" s="11">
        <f t="shared" si="8"/>
        <v>1.6703701079449351E-3</v>
      </c>
      <c r="U43" s="11">
        <f t="shared" si="9"/>
        <v>2.9016703701079449</v>
      </c>
      <c r="V43" s="11">
        <f t="shared" si="10"/>
        <v>4.3738903319622701E-4</v>
      </c>
      <c r="W43" s="6">
        <f t="shared" si="11"/>
        <v>2.8942161033443099E-4</v>
      </c>
      <c r="X43" s="6">
        <f t="shared" si="12"/>
        <v>1.6077241500112851E-5</v>
      </c>
      <c r="Y43" s="6">
        <f t="shared" si="13"/>
        <v>6.9279093242084365E-3</v>
      </c>
      <c r="Z43" s="6">
        <f t="shared" si="21"/>
        <v>6.9439865657085495E-3</v>
      </c>
      <c r="AA43" s="6">
        <f t="shared" si="22"/>
        <v>7.2334081760429807E-3</v>
      </c>
      <c r="AB43" s="7">
        <f t="shared" si="14"/>
        <v>4.0011790194972571E-2</v>
      </c>
      <c r="AC43" s="7">
        <f t="shared" si="15"/>
        <v>2.2226371177781188E-3</v>
      </c>
      <c r="AD43" s="7">
        <f t="shared" si="16"/>
        <v>0.95776557268724927</v>
      </c>
      <c r="AE43" s="7">
        <f t="shared" si="23"/>
        <v>0.95998820980502741</v>
      </c>
    </row>
    <row r="44" spans="1:31" x14ac:dyDescent="0.25">
      <c r="A44" s="3"/>
      <c r="B44" s="8">
        <f t="shared" si="17"/>
        <v>350</v>
      </c>
      <c r="C44" s="8">
        <f t="shared" si="18"/>
        <v>350</v>
      </c>
      <c r="D44" s="8">
        <f t="shared" si="19"/>
        <v>623.15</v>
      </c>
      <c r="E44" s="8">
        <f t="shared" si="20"/>
        <v>1.6047500601781273E-3</v>
      </c>
      <c r="F44" s="3"/>
      <c r="G44" s="8"/>
      <c r="H44" s="8"/>
      <c r="I44" s="3"/>
      <c r="J44" s="6"/>
      <c r="K44" s="7" t="e">
        <f t="shared" si="0"/>
        <v>#DIV/0!</v>
      </c>
      <c r="L44" s="7" t="e">
        <f t="shared" si="1"/>
        <v>#DIV/0!</v>
      </c>
      <c r="M44" s="7"/>
      <c r="N44" s="4">
        <f t="shared" si="2"/>
        <v>301.0021045055658</v>
      </c>
      <c r="O44" s="4">
        <f t="shared" si="3"/>
        <v>7.344448495170137E-4</v>
      </c>
      <c r="P44" s="5">
        <f t="shared" si="4"/>
        <v>1.3142269717725786E-4</v>
      </c>
      <c r="Q44" s="5">
        <f t="shared" si="5"/>
        <v>9.4221496825362987E-7</v>
      </c>
      <c r="R44" s="5">
        <f t="shared" si="6"/>
        <v>2.1573674845705686E-5</v>
      </c>
      <c r="S44" s="11">
        <f t="shared" si="7"/>
        <v>9.9100081660199651E-2</v>
      </c>
      <c r="T44" s="11">
        <f t="shared" si="8"/>
        <v>4.4995916990017704E-4</v>
      </c>
      <c r="U44" s="11">
        <f t="shared" si="9"/>
        <v>2.9004499591699004</v>
      </c>
      <c r="V44" s="11">
        <f t="shared" si="10"/>
        <v>2.2705937459244302E-4</v>
      </c>
      <c r="W44" s="6">
        <f t="shared" si="11"/>
        <v>6.3917913382532726E-5</v>
      </c>
      <c r="X44" s="6">
        <f t="shared" si="12"/>
        <v>1.8162092259413617E-6</v>
      </c>
      <c r="Y44" s="6">
        <f t="shared" si="13"/>
        <v>4.5794246427197172E-3</v>
      </c>
      <c r="Z44" s="6">
        <f t="shared" si="21"/>
        <v>4.5812408519456584E-3</v>
      </c>
      <c r="AA44" s="6">
        <f t="shared" si="22"/>
        <v>4.6451587653281914E-3</v>
      </c>
      <c r="AB44" s="7">
        <f t="shared" si="14"/>
        <v>1.3760113832840495E-2</v>
      </c>
      <c r="AC44" s="7">
        <f t="shared" si="15"/>
        <v>3.9098969867245047E-4</v>
      </c>
      <c r="AD44" s="7">
        <f t="shared" si="16"/>
        <v>0.98584889646848706</v>
      </c>
      <c r="AE44" s="7">
        <f t="shared" si="23"/>
        <v>0.98623988616715952</v>
      </c>
    </row>
    <row r="45" spans="1:31" x14ac:dyDescent="0.25">
      <c r="A45" s="3"/>
      <c r="B45" s="8">
        <f t="shared" si="17"/>
        <v>300</v>
      </c>
      <c r="C45" s="8">
        <f t="shared" si="18"/>
        <v>300</v>
      </c>
      <c r="D45" s="8">
        <f t="shared" si="19"/>
        <v>573.15</v>
      </c>
      <c r="E45" s="8">
        <f t="shared" si="20"/>
        <v>1.7447439588240427E-3</v>
      </c>
      <c r="F45" s="3"/>
      <c r="G45" s="8"/>
      <c r="H45" s="8"/>
      <c r="I45" s="3"/>
      <c r="J45" s="6"/>
      <c r="K45" s="7" t="e">
        <f t="shared" si="0"/>
        <v>#DIV/0!</v>
      </c>
      <c r="L45" s="7" t="e">
        <f t="shared" si="1"/>
        <v>#DIV/0!</v>
      </c>
      <c r="M45" s="7"/>
      <c r="N45" s="4">
        <f t="shared" si="2"/>
        <v>1490.2242811862279</v>
      </c>
      <c r="O45" s="4">
        <f t="shared" si="3"/>
        <v>7.344448495170137E-4</v>
      </c>
      <c r="P45" s="5">
        <f t="shared" si="4"/>
        <v>4.7828402018204869E-5</v>
      </c>
      <c r="Q45" s="5">
        <f t="shared" si="5"/>
        <v>3.3717320268104479E-7</v>
      </c>
      <c r="R45" s="5">
        <f t="shared" si="6"/>
        <v>1.2793827079200399E-5</v>
      </c>
      <c r="S45" s="11">
        <f t="shared" si="7"/>
        <v>9.9815573570746607E-2</v>
      </c>
      <c r="T45" s="11">
        <f t="shared" si="8"/>
        <v>9.2213214626699069E-5</v>
      </c>
      <c r="U45" s="11">
        <f t="shared" si="9"/>
        <v>2.9000922132146267</v>
      </c>
      <c r="V45" s="11">
        <f t="shared" si="10"/>
        <v>1.0279600808074247E-4</v>
      </c>
      <c r="W45" s="6">
        <f t="shared" si="11"/>
        <v>1.0531128123584402E-5</v>
      </c>
      <c r="X45" s="6">
        <f t="shared" si="12"/>
        <v>1.3319532583342744E-7</v>
      </c>
      <c r="Y45" s="6">
        <f t="shared" si="13"/>
        <v>2.7353415270921669E-3</v>
      </c>
      <c r="Z45" s="6">
        <f t="shared" si="21"/>
        <v>2.7354747224180003E-3</v>
      </c>
      <c r="AA45" s="6">
        <f t="shared" si="22"/>
        <v>2.7460058505415848E-3</v>
      </c>
      <c r="AB45" s="7">
        <f t="shared" si="14"/>
        <v>3.835071262323562E-3</v>
      </c>
      <c r="AC45" s="7">
        <f t="shared" si="15"/>
        <v>4.8505113638835765E-5</v>
      </c>
      <c r="AD45" s="7">
        <f t="shared" si="16"/>
        <v>0.99611642362403752</v>
      </c>
      <c r="AE45" s="7">
        <f t="shared" si="23"/>
        <v>0.99616492873767637</v>
      </c>
    </row>
    <row r="46" spans="1:31" x14ac:dyDescent="0.25">
      <c r="A46" s="3"/>
      <c r="B46" s="8">
        <f t="shared" si="17"/>
        <v>250</v>
      </c>
      <c r="C46" s="8">
        <f t="shared" si="18"/>
        <v>250</v>
      </c>
      <c r="D46" s="8">
        <f t="shared" si="19"/>
        <v>523.15</v>
      </c>
      <c r="E46" s="8">
        <f t="shared" si="20"/>
        <v>1.9114976584153685E-3</v>
      </c>
      <c r="F46" s="3"/>
      <c r="G46" s="8"/>
      <c r="H46" s="8"/>
      <c r="I46" s="3"/>
      <c r="J46" s="6"/>
      <c r="K46" s="7" t="e">
        <f t="shared" si="0"/>
        <v>#DIV/0!</v>
      </c>
      <c r="L46" s="7" t="e">
        <f t="shared" si="1"/>
        <v>#DIV/0!</v>
      </c>
      <c r="M46" s="7"/>
      <c r="N46" s="4">
        <f t="shared" si="2"/>
        <v>10016.639876156039</v>
      </c>
      <c r="O46" s="4">
        <f t="shared" si="3"/>
        <v>7.344448495170137E-4</v>
      </c>
      <c r="P46" s="5">
        <f t="shared" si="4"/>
        <v>1.4228658737802365E-5</v>
      </c>
      <c r="Q46" s="5">
        <f t="shared" si="5"/>
        <v>9.8315259181543411E-8</v>
      </c>
      <c r="R46" s="5">
        <f t="shared" si="6"/>
        <v>6.8088662582100899E-6</v>
      </c>
      <c r="S46" s="11">
        <f t="shared" si="7"/>
        <v>9.9972474909523407E-2</v>
      </c>
      <c r="T46" s="11">
        <f t="shared" si="8"/>
        <v>1.3762545238299451E-5</v>
      </c>
      <c r="U46" s="11">
        <f t="shared" si="9"/>
        <v>2.9000137625452385</v>
      </c>
      <c r="V46" s="11">
        <f t="shared" si="10"/>
        <v>3.9713203635416164E-5</v>
      </c>
      <c r="W46" s="6">
        <f t="shared" si="11"/>
        <v>1.2103519149725276E-6</v>
      </c>
      <c r="X46" s="6">
        <f t="shared" si="12"/>
        <v>5.7964548752998878E-9</v>
      </c>
      <c r="Y46" s="6">
        <f t="shared" si="13"/>
        <v>1.4580352472333409E-3</v>
      </c>
      <c r="Z46" s="6">
        <f t="shared" si="21"/>
        <v>1.4580410436882162E-3</v>
      </c>
      <c r="AA46" s="6">
        <f t="shared" si="22"/>
        <v>1.4592513956031886E-3</v>
      </c>
      <c r="AB46" s="7">
        <f t="shared" si="14"/>
        <v>8.2943344691626818E-4</v>
      </c>
      <c r="AC46" s="7">
        <f t="shared" si="15"/>
        <v>3.9722112946165082E-6</v>
      </c>
      <c r="AD46" s="7">
        <f t="shared" si="16"/>
        <v>0.99916659434178923</v>
      </c>
      <c r="AE46" s="7">
        <f t="shared" si="23"/>
        <v>0.99917056655308389</v>
      </c>
    </row>
    <row r="47" spans="1:31" x14ac:dyDescent="0.25">
      <c r="A47" s="3"/>
      <c r="B47" s="8">
        <f t="shared" si="17"/>
        <v>200</v>
      </c>
      <c r="C47" s="8">
        <f t="shared" si="18"/>
        <v>200</v>
      </c>
      <c r="D47" s="8">
        <f t="shared" si="19"/>
        <v>473.15</v>
      </c>
      <c r="E47" s="8">
        <f t="shared" si="20"/>
        <v>2.1134946634259748E-3</v>
      </c>
      <c r="F47" s="3"/>
      <c r="G47" s="8"/>
      <c r="H47" s="8"/>
      <c r="I47" s="3"/>
      <c r="J47" s="6"/>
      <c r="K47" s="7" t="e">
        <f t="shared" si="0"/>
        <v>#DIV/0!</v>
      </c>
      <c r="L47" s="7" t="e">
        <f t="shared" si="1"/>
        <v>#DIV/0!</v>
      </c>
      <c r="M47" s="7"/>
      <c r="N47" s="4">
        <f t="shared" si="2"/>
        <v>100711.23401859819</v>
      </c>
      <c r="O47" s="4">
        <f t="shared" si="3"/>
        <v>7.344448495170137E-4</v>
      </c>
      <c r="P47" s="5">
        <f t="shared" si="4"/>
        <v>3.2431640689028179E-6</v>
      </c>
      <c r="Q47" s="5">
        <f t="shared" si="5"/>
        <v>2.1871308712077603E-8</v>
      </c>
      <c r="R47" s="5">
        <f t="shared" si="6"/>
        <v>3.1395114737028817E-6</v>
      </c>
      <c r="S47" s="11">
        <f t="shared" si="7"/>
        <v>9.9997261012339467E-2</v>
      </c>
      <c r="T47" s="11">
        <f t="shared" si="8"/>
        <v>1.3694938302694082E-6</v>
      </c>
      <c r="U47" s="11">
        <f t="shared" si="9"/>
        <v>2.9000013694938302</v>
      </c>
      <c r="V47" s="11">
        <f t="shared" si="10"/>
        <v>1.2527560561836614E-5</v>
      </c>
      <c r="W47" s="6">
        <f t="shared" si="11"/>
        <v>8.7025836483965273E-8</v>
      </c>
      <c r="X47" s="6">
        <f t="shared" si="12"/>
        <v>1.2831505723623145E-10</v>
      </c>
      <c r="Y47" s="6">
        <f t="shared" si="13"/>
        <v>6.724545783268782E-4</v>
      </c>
      <c r="Z47" s="6">
        <f t="shared" si="21"/>
        <v>6.7245470664193546E-4</v>
      </c>
      <c r="AA47" s="6">
        <f t="shared" si="22"/>
        <v>6.7254173247841941E-4</v>
      </c>
      <c r="AB47" s="7">
        <f t="shared" si="14"/>
        <v>1.2939841838998113E-4</v>
      </c>
      <c r="AC47" s="7">
        <f t="shared" si="15"/>
        <v>1.907912193989372E-7</v>
      </c>
      <c r="AD47" s="7">
        <f t="shared" si="16"/>
        <v>0.99987041079039063</v>
      </c>
      <c r="AE47" s="7">
        <f t="shared" si="23"/>
        <v>0.99987060158161001</v>
      </c>
    </row>
    <row r="48" spans="1:31" x14ac:dyDescent="0.25">
      <c r="C48" s="2"/>
    </row>
    <row r="49" spans="3:3" x14ac:dyDescent="0.25">
      <c r="C49" s="2"/>
    </row>
    <row r="50" spans="3:3" x14ac:dyDescent="0.25">
      <c r="C50" s="2"/>
    </row>
  </sheetData>
  <sheetProtection selectLockedCells="1"/>
  <protectedRanges>
    <protectedRange sqref="A31:A47" name="Manual temperatures"/>
    <protectedRange sqref="F31:I47 G30:H30" name="Measured conductivities"/>
    <protectedRange sqref="C2:C24" name="Parameters"/>
  </protectedRanges>
  <mergeCells count="14">
    <mergeCell ref="A28:E28"/>
    <mergeCell ref="A11:A12"/>
    <mergeCell ref="A14:A15"/>
    <mergeCell ref="A17:A18"/>
    <mergeCell ref="A20:A21"/>
    <mergeCell ref="A23:A24"/>
    <mergeCell ref="AB28:AE28"/>
    <mergeCell ref="L1:Z1"/>
    <mergeCell ref="F28:J28"/>
    <mergeCell ref="K28:M28"/>
    <mergeCell ref="N28:O28"/>
    <mergeCell ref="P28:R28"/>
    <mergeCell ref="S28:V28"/>
    <mergeCell ref="W28:AA28"/>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26F42-9611-4F26-A442-31CBF0645312}">
  <dimension ref="A1:L17"/>
  <sheetViews>
    <sheetView workbookViewId="0">
      <selection activeCell="B3" sqref="B3"/>
    </sheetView>
  </sheetViews>
  <sheetFormatPr defaultRowHeight="15" x14ac:dyDescent="0.25"/>
  <sheetData>
    <row r="1" spans="1:12" x14ac:dyDescent="0.25">
      <c r="A1" t="s">
        <v>77</v>
      </c>
      <c r="C1" t="s">
        <v>8</v>
      </c>
      <c r="I1" t="s">
        <v>9</v>
      </c>
    </row>
    <row r="3" spans="1:12" x14ac:dyDescent="0.25">
      <c r="C3" t="s">
        <v>26</v>
      </c>
      <c r="D3" t="s">
        <v>27</v>
      </c>
      <c r="E3" t="s">
        <v>28</v>
      </c>
      <c r="F3" t="s">
        <v>29</v>
      </c>
      <c r="I3" t="s">
        <v>30</v>
      </c>
      <c r="J3" t="s">
        <v>31</v>
      </c>
      <c r="K3" t="s">
        <v>32</v>
      </c>
      <c r="L3" t="s">
        <v>33</v>
      </c>
    </row>
    <row r="11" spans="1:12" x14ac:dyDescent="0.25">
      <c r="A11">
        <v>700</v>
      </c>
      <c r="C11">
        <v>4.1770000000000002E-2</v>
      </c>
      <c r="F11">
        <v>1.2239999999999999E-2</v>
      </c>
      <c r="I11">
        <v>3.3180000000000001E-2</v>
      </c>
      <c r="L11">
        <v>2.009E-2</v>
      </c>
    </row>
    <row r="12" spans="1:12" x14ac:dyDescent="0.25">
      <c r="A12">
        <v>650</v>
      </c>
      <c r="C12">
        <v>2.733E-2</v>
      </c>
      <c r="F12">
        <v>9.3100000000000006E-3</v>
      </c>
      <c r="I12">
        <v>2.0580000000000001E-2</v>
      </c>
      <c r="L12">
        <v>1.755E-2</v>
      </c>
    </row>
    <row r="13" spans="1:12" x14ac:dyDescent="0.25">
      <c r="A13">
        <v>600</v>
      </c>
      <c r="C13">
        <v>1.728E-2</v>
      </c>
      <c r="F13">
        <v>6.4700000000000001E-3</v>
      </c>
      <c r="I13">
        <v>1.179E-2</v>
      </c>
      <c r="L13">
        <v>1.555E-2</v>
      </c>
    </row>
    <row r="14" spans="1:12" x14ac:dyDescent="0.25">
      <c r="A14">
        <v>550</v>
      </c>
      <c r="C14">
        <v>1.074E-2</v>
      </c>
      <c r="F14">
        <v>4.7299999999999998E-3</v>
      </c>
      <c r="I14">
        <v>5.7499999999999999E-3</v>
      </c>
      <c r="L14">
        <v>1.4370000000000001E-2</v>
      </c>
    </row>
    <row r="15" spans="1:12" x14ac:dyDescent="0.25">
      <c r="A15">
        <v>500</v>
      </c>
      <c r="C15">
        <v>5.7099999999999998E-3</v>
      </c>
      <c r="F15">
        <v>3.8899999999999998E-3</v>
      </c>
      <c r="I15">
        <v>3.0500000000000002E-3</v>
      </c>
      <c r="L15">
        <v>1.209E-2</v>
      </c>
    </row>
    <row r="16" spans="1:12" x14ac:dyDescent="0.25">
      <c r="A16">
        <v>450</v>
      </c>
      <c r="C16">
        <v>2.4399999999999999E-3</v>
      </c>
      <c r="F16">
        <v>3.5400000000000002E-3</v>
      </c>
      <c r="I16">
        <v>1.32E-3</v>
      </c>
      <c r="L16">
        <v>9.1500000000000001E-3</v>
      </c>
    </row>
    <row r="17" spans="1:12" x14ac:dyDescent="0.25">
      <c r="A17">
        <v>400</v>
      </c>
      <c r="C17">
        <v>1.15E-3</v>
      </c>
      <c r="F17">
        <v>2.8900000000000002E-3</v>
      </c>
      <c r="I17">
        <v>5.4099499999999995E-4</v>
      </c>
      <c r="L17">
        <v>6.8999999999999999E-3</v>
      </c>
    </row>
  </sheetData>
  <pageMargins left="0.7" right="0.7" top="0.75" bottom="0.75" header="0.3" footer="0.3"/>
</worksheet>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Introductions</vt:lpstr>
      <vt:lpstr>Transport numbers</vt:lpstr>
      <vt:lpstr>Transport numbers Backup</vt:lpstr>
      <vt:lpstr>Workspace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Truls Norby</dc:creator>
  <cp:keywords/>
  <dc:description/>
  <cp:lastModifiedBy>Truls Norby</cp:lastModifiedBy>
  <cp:revision/>
  <dcterms:created xsi:type="dcterms:W3CDTF">2015-06-05T18:17:20Z</dcterms:created>
  <dcterms:modified xsi:type="dcterms:W3CDTF">2025-12-02T08:51:43Z</dcterms:modified>
  <cp:category/>
  <cp:contentStatus/>
</cp:coreProperties>
</file>